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8415.10 Bow Concord INFRA\Reports\Final PDF's\"/>
    </mc:Choice>
  </mc:AlternateContent>
  <xr:revisionPtr revIDLastSave="0" documentId="13_ncr:1_{1118B49F-76BB-4E91-813F-1008F9AA9ADE}" xr6:coauthVersionLast="44" xr6:coauthVersionMax="44" xr10:uidLastSave="{00000000-0000-0000-0000-000000000000}"/>
  <bookViews>
    <workbookView xWindow="28680" yWindow="-120" windowWidth="29040" windowHeight="15840" tabRatio="765" firstSheet="14" activeTab="20" xr2:uid="{00000000-000D-0000-FFFF-FFFF00000000}"/>
  </bookViews>
  <sheets>
    <sheet name="Benefits-Cost Summary" sheetId="1" r:id="rId1"/>
    <sheet name="Funding Assumptions" sheetId="75" r:id="rId2"/>
    <sheet name="Avoided Bridge Projects" sheetId="77" r:id="rId3"/>
    <sheet name="Residual Bridge Value" sheetId="78" r:id="rId4"/>
    <sheet name="Maint. Costs" sheetId="70" r:id="rId5"/>
    <sheet name="Avoided Overlay Costs" sheetId="72" r:id="rId6"/>
    <sheet name="GDP" sheetId="3" r:id="rId7"/>
    <sheet name="Fuel Savings" sheetId="59" r:id="rId8"/>
    <sheet name="Crash Costs Summary" sheetId="61" r:id="rId9"/>
    <sheet name="Crash Costs- I-89 Exit 1" sheetId="12" r:id="rId10"/>
    <sheet name="Crash Costs- I-89 Exit 1 NB Ram" sheetId="79" r:id="rId11"/>
    <sheet name="Crash Costs- I-89 Exit 1 SB Ram" sheetId="80" r:id="rId12"/>
    <sheet name="Crash Costs- I-89 CD Weave" sheetId="62" r:id="rId13"/>
    <sheet name="Crash Costs- I-89 - Ex 12 Weave" sheetId="63" r:id="rId14"/>
    <sheet name="Crash Costs- Ex 12-13 Weave" sheetId="64" r:id="rId15"/>
    <sheet name="Crash Costs- Exit 12" sheetId="69" r:id="rId16"/>
    <sheet name="Value of Travel Time Table" sheetId="33" r:id="rId17"/>
    <sheet name="Travel Times Savings" sheetId="54" r:id="rId18"/>
    <sheet name="Travel Time Calcs - AM" sheetId="51" r:id="rId19"/>
    <sheet name="Travel Time Calcs - PM" sheetId="52" r:id="rId20"/>
    <sheet name="2018 Summer Weekend Savings" sheetId="73" r:id="rId21"/>
  </sheets>
  <definedNames>
    <definedName name="_xlnm.Print_Area" localSheetId="2">'Avoided Bridge Projects'!$A$1:$AF$45</definedName>
    <definedName name="_xlnm.Print_Area" localSheetId="5">'Avoided Overlay Costs'!$A$1:$L$46</definedName>
    <definedName name="_xlnm.Print_Area" localSheetId="0">'Benefits-Cost Summary'!$A$1:$Y$55</definedName>
    <definedName name="_xlnm.Print_Area" localSheetId="14">'Crash Costs- Ex 12-13 Weave'!$A$1:$S$48</definedName>
    <definedName name="_xlnm.Print_Area" localSheetId="15">'Crash Costs- Exit 12'!$A$1:$S$48</definedName>
    <definedName name="_xlnm.Print_Area" localSheetId="13">'Crash Costs- I-89 - Ex 12 Weave'!$A$1:$S$48</definedName>
    <definedName name="_xlnm.Print_Area" localSheetId="12">'Crash Costs- I-89 CD Weave'!$A$1:$S$48</definedName>
    <definedName name="_xlnm.Print_Area" localSheetId="9">'Crash Costs- I-89 Exit 1'!$A$1:$S$48</definedName>
    <definedName name="_xlnm.Print_Area" localSheetId="10">'Crash Costs- I-89 Exit 1 NB Ram'!$A$1:$S$48</definedName>
    <definedName name="_xlnm.Print_Area" localSheetId="11">'Crash Costs- I-89 Exit 1 SB Ram'!$A$1:$S$48</definedName>
    <definedName name="_xlnm.Print_Area" localSheetId="8">'Crash Costs Summary'!$A$1:$L$47</definedName>
    <definedName name="_xlnm.Print_Area" localSheetId="7">'Fuel Savings'!$A$1:$P$52</definedName>
    <definedName name="_xlnm.Print_Area" localSheetId="1">'Funding Assumptions'!$A$1:$AF$45</definedName>
    <definedName name="_xlnm.Print_Area" localSheetId="6">GDP!$A$1:$E$15</definedName>
    <definedName name="_xlnm.Print_Area" localSheetId="4">'Maint. Costs'!$A$1:$K$48</definedName>
    <definedName name="_xlnm.Print_Area" localSheetId="3">'Residual Bridge Value'!$A$1:$AF$45</definedName>
    <definedName name="_xlnm.Print_Area" localSheetId="17">'Travel Times Savings'!$A$1:$M$57</definedName>
    <definedName name="_xlnm.Print_Area" localSheetId="16">'Value of Travel Time Table'!$A$1:$P$50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75" l="1"/>
  <c r="Y23" i="77" l="1"/>
  <c r="G14" i="1"/>
  <c r="G19" i="1"/>
  <c r="G24" i="1"/>
  <c r="H18" i="61"/>
  <c r="I18" i="61"/>
  <c r="H19" i="61"/>
  <c r="I19" i="61"/>
  <c r="H20" i="61"/>
  <c r="I20" i="61"/>
  <c r="H21" i="61"/>
  <c r="I21" i="61"/>
  <c r="H22" i="61"/>
  <c r="I22" i="61"/>
  <c r="H23" i="61"/>
  <c r="I23" i="61"/>
  <c r="H24" i="61"/>
  <c r="I24" i="61"/>
  <c r="H25" i="61"/>
  <c r="I25" i="61"/>
  <c r="H26" i="61"/>
  <c r="I26" i="61"/>
  <c r="H27" i="61"/>
  <c r="I27" i="61"/>
  <c r="H28" i="61"/>
  <c r="I28" i="61"/>
  <c r="H29" i="61"/>
  <c r="I29" i="61"/>
  <c r="H30" i="61"/>
  <c r="I30" i="61"/>
  <c r="H31" i="61"/>
  <c r="I31" i="61"/>
  <c r="H32" i="61"/>
  <c r="I32" i="61"/>
  <c r="H33" i="61"/>
  <c r="I33" i="61"/>
  <c r="H34" i="61"/>
  <c r="I34" i="61"/>
  <c r="H35" i="61"/>
  <c r="I35" i="61"/>
  <c r="H36" i="61"/>
  <c r="I36" i="61"/>
  <c r="H37" i="61"/>
  <c r="I37" i="61"/>
  <c r="H38" i="61"/>
  <c r="I38" i="61"/>
  <c r="H39" i="61"/>
  <c r="I39" i="61"/>
  <c r="H40" i="61"/>
  <c r="I40" i="61"/>
  <c r="H41" i="61"/>
  <c r="I41" i="61"/>
  <c r="H42" i="61"/>
  <c r="I42" i="61"/>
  <c r="H43" i="61"/>
  <c r="I43" i="61"/>
  <c r="H44" i="61"/>
  <c r="I44" i="61"/>
  <c r="H45" i="61"/>
  <c r="I45" i="61"/>
  <c r="H46" i="61"/>
  <c r="I46" i="61"/>
  <c r="H47" i="61"/>
  <c r="I47" i="61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M18" i="12"/>
  <c r="I17" i="61"/>
  <c r="H17" i="61"/>
  <c r="C19" i="80"/>
  <c r="C18" i="80"/>
  <c r="K7" i="80" s="1"/>
  <c r="C17" i="80"/>
  <c r="S16" i="80"/>
  <c r="C16" i="80"/>
  <c r="S15" i="80"/>
  <c r="S14" i="80"/>
  <c r="S13" i="80"/>
  <c r="S12" i="80"/>
  <c r="S11" i="80"/>
  <c r="S10" i="80"/>
  <c r="S9" i="80"/>
  <c r="S8" i="80"/>
  <c r="L8" i="80"/>
  <c r="O8" i="80" s="1"/>
  <c r="I8" i="80"/>
  <c r="H8" i="80"/>
  <c r="H9" i="80" s="1"/>
  <c r="S7" i="80"/>
  <c r="O7" i="80"/>
  <c r="J7" i="80"/>
  <c r="M7" i="80" s="1"/>
  <c r="C19" i="79"/>
  <c r="C18" i="79"/>
  <c r="K7" i="79" s="1"/>
  <c r="N7" i="79" s="1"/>
  <c r="C17" i="79"/>
  <c r="J7" i="79" s="1"/>
  <c r="S16" i="79"/>
  <c r="C16" i="79"/>
  <c r="S15" i="79"/>
  <c r="S14" i="79"/>
  <c r="S13" i="79"/>
  <c r="S12" i="79"/>
  <c r="S11" i="79"/>
  <c r="S10" i="79"/>
  <c r="S9" i="79"/>
  <c r="H9" i="79"/>
  <c r="S8" i="79"/>
  <c r="I8" i="79"/>
  <c r="L8" i="79" s="1"/>
  <c r="O8" i="79" s="1"/>
  <c r="H8" i="79"/>
  <c r="S7" i="79"/>
  <c r="O7" i="79"/>
  <c r="H10" i="33"/>
  <c r="H11" i="33" s="1"/>
  <c r="H12" i="33" s="1"/>
  <c r="H13" i="33" s="1"/>
  <c r="H14" i="33" s="1"/>
  <c r="H15" i="33" s="1"/>
  <c r="H16" i="33" s="1"/>
  <c r="H17" i="33" s="1"/>
  <c r="H18" i="33" s="1"/>
  <c r="H19" i="33" s="1"/>
  <c r="H20" i="33" s="1"/>
  <c r="H21" i="33" s="1"/>
  <c r="H22" i="33" s="1"/>
  <c r="H23" i="33" s="1"/>
  <c r="H24" i="33" s="1"/>
  <c r="H25" i="33" s="1"/>
  <c r="H26" i="33" s="1"/>
  <c r="H27" i="33" s="1"/>
  <c r="H28" i="33" s="1"/>
  <c r="H29" i="33" s="1"/>
  <c r="H30" i="33" s="1"/>
  <c r="H31" i="33" s="1"/>
  <c r="H32" i="33" s="1"/>
  <c r="H33" i="33" s="1"/>
  <c r="H34" i="33" s="1"/>
  <c r="H35" i="33" s="1"/>
  <c r="H36" i="33" s="1"/>
  <c r="H37" i="33" s="1"/>
  <c r="H38" i="33" s="1"/>
  <c r="H39" i="33" s="1"/>
  <c r="H40" i="33" s="1"/>
  <c r="H41" i="33" s="1"/>
  <c r="H42" i="33" s="1"/>
  <c r="H43" i="33" s="1"/>
  <c r="H44" i="33" s="1"/>
  <c r="H45" i="33" s="1"/>
  <c r="H46" i="33" s="1"/>
  <c r="H47" i="33" s="1"/>
  <c r="H9" i="33"/>
  <c r="E24" i="33"/>
  <c r="E23" i="33"/>
  <c r="E22" i="33"/>
  <c r="E21" i="33"/>
  <c r="E20" i="33"/>
  <c r="E19" i="33"/>
  <c r="E18" i="33"/>
  <c r="E17" i="33"/>
  <c r="E27" i="33"/>
  <c r="E28" i="33"/>
  <c r="E29" i="33"/>
  <c r="E30" i="33"/>
  <c r="E31" i="33"/>
  <c r="E32" i="33"/>
  <c r="E33" i="33"/>
  <c r="E34" i="33"/>
  <c r="E35" i="33"/>
  <c r="E36" i="33"/>
  <c r="E37" i="33"/>
  <c r="E38" i="33"/>
  <c r="E39" i="33"/>
  <c r="E40" i="33"/>
  <c r="E41" i="33"/>
  <c r="E42" i="33"/>
  <c r="E43" i="33"/>
  <c r="E44" i="33"/>
  <c r="E45" i="33"/>
  <c r="E46" i="33"/>
  <c r="E47" i="33"/>
  <c r="E26" i="33"/>
  <c r="D23" i="33"/>
  <c r="D22" i="33" s="1"/>
  <c r="D21" i="33" s="1"/>
  <c r="D20" i="33" s="1"/>
  <c r="D19" i="33" s="1"/>
  <c r="D18" i="33" s="1"/>
  <c r="D17" i="33" s="1"/>
  <c r="D24" i="33"/>
  <c r="D27" i="33"/>
  <c r="D28" i="33" s="1"/>
  <c r="D29" i="33" s="1"/>
  <c r="D30" i="33" s="1"/>
  <c r="D31" i="33" s="1"/>
  <c r="D32" i="33" s="1"/>
  <c r="D33" i="33" s="1"/>
  <c r="D34" i="33" s="1"/>
  <c r="D35" i="33" s="1"/>
  <c r="D36" i="33" s="1"/>
  <c r="D37" i="33" s="1"/>
  <c r="D38" i="33" s="1"/>
  <c r="D39" i="33" s="1"/>
  <c r="D40" i="33" s="1"/>
  <c r="D41" i="33" s="1"/>
  <c r="D42" i="33" s="1"/>
  <c r="D43" i="33" s="1"/>
  <c r="D44" i="33" s="1"/>
  <c r="D45" i="33" s="1"/>
  <c r="D46" i="33" s="1"/>
  <c r="D47" i="33" s="1"/>
  <c r="D26" i="33"/>
  <c r="H10" i="80" l="1"/>
  <c r="I9" i="80"/>
  <c r="K8" i="80"/>
  <c r="N8" i="80" s="1"/>
  <c r="J8" i="80"/>
  <c r="M8" i="80" s="1"/>
  <c r="N7" i="80"/>
  <c r="K9" i="80"/>
  <c r="N9" i="80" s="1"/>
  <c r="J8" i="79"/>
  <c r="M8" i="79" s="1"/>
  <c r="H10" i="79"/>
  <c r="I9" i="79"/>
  <c r="L9" i="79" s="1"/>
  <c r="O9" i="79" s="1"/>
  <c r="K8" i="79"/>
  <c r="N8" i="79" s="1"/>
  <c r="J9" i="79"/>
  <c r="M9" i="79" s="1"/>
  <c r="M7" i="79"/>
  <c r="E54" i="54"/>
  <c r="J9" i="80" l="1"/>
  <c r="M9" i="80" s="1"/>
  <c r="L9" i="80"/>
  <c r="O9" i="80" s="1"/>
  <c r="I10" i="80"/>
  <c r="H11" i="80"/>
  <c r="H11" i="79"/>
  <c r="I10" i="79"/>
  <c r="K9" i="79"/>
  <c r="N9" i="79" s="1"/>
  <c r="L7" i="63"/>
  <c r="C19" i="63"/>
  <c r="E36" i="73"/>
  <c r="F34" i="73"/>
  <c r="E29" i="73"/>
  <c r="E26" i="73"/>
  <c r="E23" i="73"/>
  <c r="E41" i="54"/>
  <c r="I11" i="80" l="1"/>
  <c r="H12" i="80"/>
  <c r="L10" i="80"/>
  <c r="O10" i="80" s="1"/>
  <c r="J10" i="80"/>
  <c r="M10" i="80" s="1"/>
  <c r="K10" i="80"/>
  <c r="N10" i="80" s="1"/>
  <c r="K10" i="79"/>
  <c r="N10" i="79" s="1"/>
  <c r="L10" i="79"/>
  <c r="O10" i="79" s="1"/>
  <c r="J10" i="79"/>
  <c r="M10" i="79" s="1"/>
  <c r="H12" i="79"/>
  <c r="I11" i="79"/>
  <c r="E32" i="73"/>
  <c r="H13" i="80" l="1"/>
  <c r="I12" i="80"/>
  <c r="L11" i="80"/>
  <c r="O11" i="80" s="1"/>
  <c r="K11" i="80"/>
  <c r="N11" i="80" s="1"/>
  <c r="J11" i="80"/>
  <c r="M11" i="80" s="1"/>
  <c r="L11" i="79"/>
  <c r="O11" i="79" s="1"/>
  <c r="J11" i="79"/>
  <c r="M11" i="79" s="1"/>
  <c r="K11" i="79"/>
  <c r="N11" i="79" s="1"/>
  <c r="I12" i="79"/>
  <c r="H13" i="79"/>
  <c r="E50" i="54"/>
  <c r="E52" i="54" s="1"/>
  <c r="E47" i="54"/>
  <c r="E44" i="54"/>
  <c r="E44" i="73"/>
  <c r="L12" i="80" l="1"/>
  <c r="O12" i="80" s="1"/>
  <c r="K12" i="80"/>
  <c r="N12" i="80" s="1"/>
  <c r="J12" i="80"/>
  <c r="M12" i="80" s="1"/>
  <c r="H14" i="80"/>
  <c r="I13" i="80"/>
  <c r="L12" i="79"/>
  <c r="O12" i="79" s="1"/>
  <c r="K12" i="79"/>
  <c r="N12" i="79" s="1"/>
  <c r="J12" i="79"/>
  <c r="M12" i="79" s="1"/>
  <c r="H14" i="79"/>
  <c r="I13" i="79"/>
  <c r="E48" i="73"/>
  <c r="H15" i="80" l="1"/>
  <c r="I14" i="80"/>
  <c r="L13" i="80"/>
  <c r="O13" i="80" s="1"/>
  <c r="K13" i="80"/>
  <c r="N13" i="80" s="1"/>
  <c r="J13" i="80"/>
  <c r="M13" i="80" s="1"/>
  <c r="L13" i="79"/>
  <c r="O13" i="79" s="1"/>
  <c r="J13" i="79"/>
  <c r="M13" i="79" s="1"/>
  <c r="K13" i="79"/>
  <c r="N13" i="79" s="1"/>
  <c r="H15" i="79"/>
  <c r="I14" i="79"/>
  <c r="U23" i="77"/>
  <c r="AB23" i="77"/>
  <c r="G13" i="1" s="1"/>
  <c r="L14" i="80" l="1"/>
  <c r="O14" i="80" s="1"/>
  <c r="J14" i="80"/>
  <c r="M14" i="80" s="1"/>
  <c r="K14" i="80"/>
  <c r="N14" i="80" s="1"/>
  <c r="H16" i="80"/>
  <c r="I15" i="80"/>
  <c r="L14" i="79"/>
  <c r="O14" i="79" s="1"/>
  <c r="K14" i="79"/>
  <c r="N14" i="79" s="1"/>
  <c r="J14" i="79"/>
  <c r="M14" i="79" s="1"/>
  <c r="I15" i="79"/>
  <c r="H16" i="79"/>
  <c r="H43" i="1"/>
  <c r="U37" i="78"/>
  <c r="H17" i="80" l="1"/>
  <c r="I16" i="80"/>
  <c r="L15" i="80"/>
  <c r="O15" i="80" s="1"/>
  <c r="J15" i="80"/>
  <c r="M15" i="80" s="1"/>
  <c r="K15" i="80"/>
  <c r="N15" i="80" s="1"/>
  <c r="L15" i="79"/>
  <c r="O15" i="79" s="1"/>
  <c r="K15" i="79"/>
  <c r="N15" i="79" s="1"/>
  <c r="J15" i="79"/>
  <c r="M15" i="79" s="1"/>
  <c r="H17" i="79"/>
  <c r="I16" i="79"/>
  <c r="U29" i="78"/>
  <c r="N7" i="1"/>
  <c r="L7" i="1"/>
  <c r="G5" i="72"/>
  <c r="G7" i="70"/>
  <c r="B16" i="59"/>
  <c r="B17" i="59" s="1"/>
  <c r="B18" i="59" s="1"/>
  <c r="B19" i="59" s="1"/>
  <c r="B20" i="59" s="1"/>
  <c r="B21" i="59" s="1"/>
  <c r="H8" i="33"/>
  <c r="E13" i="73"/>
  <c r="B13" i="33"/>
  <c r="B14" i="33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12" i="33"/>
  <c r="A44" i="33"/>
  <c r="A45" i="33"/>
  <c r="A46" i="33" s="1"/>
  <c r="A47" i="33" s="1"/>
  <c r="D38" i="54"/>
  <c r="D37" i="54"/>
  <c r="D18" i="61"/>
  <c r="F18" i="61"/>
  <c r="G18" i="61"/>
  <c r="D19" i="61"/>
  <c r="F19" i="61"/>
  <c r="G19" i="61"/>
  <c r="D20" i="61"/>
  <c r="F20" i="61"/>
  <c r="G20" i="61"/>
  <c r="D21" i="61"/>
  <c r="F21" i="61"/>
  <c r="G21" i="61"/>
  <c r="D22" i="61"/>
  <c r="F22" i="61"/>
  <c r="G22" i="61"/>
  <c r="D23" i="61"/>
  <c r="F23" i="61"/>
  <c r="G23" i="61"/>
  <c r="D24" i="61"/>
  <c r="F24" i="61"/>
  <c r="G24" i="61"/>
  <c r="D25" i="61"/>
  <c r="F25" i="61"/>
  <c r="G25" i="61"/>
  <c r="D26" i="61"/>
  <c r="F26" i="61"/>
  <c r="G26" i="61"/>
  <c r="D27" i="61"/>
  <c r="F27" i="61"/>
  <c r="G27" i="61"/>
  <c r="D28" i="61"/>
  <c r="F28" i="61"/>
  <c r="G28" i="61"/>
  <c r="D29" i="61"/>
  <c r="F29" i="61"/>
  <c r="G29" i="61"/>
  <c r="D30" i="61"/>
  <c r="F30" i="61"/>
  <c r="G30" i="61"/>
  <c r="D31" i="61"/>
  <c r="F31" i="61"/>
  <c r="G31" i="61"/>
  <c r="D32" i="61"/>
  <c r="F32" i="61"/>
  <c r="G32" i="61"/>
  <c r="D33" i="61"/>
  <c r="F33" i="61"/>
  <c r="G33" i="61"/>
  <c r="D34" i="61"/>
  <c r="F34" i="61"/>
  <c r="G34" i="61"/>
  <c r="D35" i="61"/>
  <c r="F35" i="61"/>
  <c r="G35" i="61"/>
  <c r="D36" i="61"/>
  <c r="F36" i="61"/>
  <c r="G36" i="61"/>
  <c r="D37" i="61"/>
  <c r="F37" i="61"/>
  <c r="G37" i="61"/>
  <c r="D38" i="61"/>
  <c r="F38" i="61"/>
  <c r="G38" i="61"/>
  <c r="D39" i="61"/>
  <c r="F39" i="61"/>
  <c r="G39" i="61"/>
  <c r="D40" i="61"/>
  <c r="F40" i="61"/>
  <c r="G40" i="61"/>
  <c r="D41" i="61"/>
  <c r="F41" i="61"/>
  <c r="G41" i="61"/>
  <c r="D42" i="61"/>
  <c r="F42" i="61"/>
  <c r="G42" i="61"/>
  <c r="D43" i="61"/>
  <c r="F43" i="61"/>
  <c r="G43" i="61"/>
  <c r="D44" i="61"/>
  <c r="F44" i="61"/>
  <c r="G44" i="61"/>
  <c r="D45" i="61"/>
  <c r="F45" i="61"/>
  <c r="G45" i="61"/>
  <c r="D46" i="61"/>
  <c r="F46" i="61"/>
  <c r="G46" i="61"/>
  <c r="D47" i="61"/>
  <c r="F47" i="61"/>
  <c r="G47" i="61"/>
  <c r="A12" i="61"/>
  <c r="A13" i="61" s="1"/>
  <c r="A14" i="61" s="1"/>
  <c r="A15" i="61" s="1"/>
  <c r="A16" i="61" s="1"/>
  <c r="A17" i="61" s="1"/>
  <c r="A18" i="61" s="1"/>
  <c r="A19" i="61" s="1"/>
  <c r="A20" i="61" s="1"/>
  <c r="A21" i="61" s="1"/>
  <c r="A22" i="61" s="1"/>
  <c r="A23" i="61" s="1"/>
  <c r="A24" i="61" s="1"/>
  <c r="A25" i="61" s="1"/>
  <c r="A26" i="61" s="1"/>
  <c r="A27" i="61" s="1"/>
  <c r="A28" i="61" s="1"/>
  <c r="A29" i="61" s="1"/>
  <c r="A30" i="61" s="1"/>
  <c r="A31" i="61" s="1"/>
  <c r="A32" i="61" s="1"/>
  <c r="A33" i="61" s="1"/>
  <c r="A34" i="61" s="1"/>
  <c r="A35" i="61" s="1"/>
  <c r="A36" i="61" s="1"/>
  <c r="A37" i="61" s="1"/>
  <c r="A38" i="61" s="1"/>
  <c r="A39" i="61" s="1"/>
  <c r="A40" i="61" s="1"/>
  <c r="A41" i="61" s="1"/>
  <c r="A42" i="61" s="1"/>
  <c r="A43" i="61" s="1"/>
  <c r="A44" i="61" s="1"/>
  <c r="A45" i="61" s="1"/>
  <c r="A46" i="61" s="1"/>
  <c r="A47" i="61" s="1"/>
  <c r="A11" i="61"/>
  <c r="P17" i="62"/>
  <c r="Q17" i="62"/>
  <c r="R17" i="62"/>
  <c r="P18" i="62"/>
  <c r="Q18" i="62"/>
  <c r="R18" i="62"/>
  <c r="P19" i="62"/>
  <c r="Q19" i="62"/>
  <c r="R19" i="62"/>
  <c r="P20" i="62"/>
  <c r="Q20" i="62"/>
  <c r="R20" i="62"/>
  <c r="P21" i="62"/>
  <c r="Q21" i="62"/>
  <c r="R21" i="62"/>
  <c r="P22" i="62"/>
  <c r="Q22" i="62"/>
  <c r="R22" i="62"/>
  <c r="H44" i="62"/>
  <c r="I44" i="62" s="1"/>
  <c r="H45" i="62"/>
  <c r="H46" i="62" s="1"/>
  <c r="I45" i="62"/>
  <c r="L45" i="62" s="1"/>
  <c r="J45" i="62"/>
  <c r="M45" i="62" s="1"/>
  <c r="H9" i="62"/>
  <c r="H10" i="62" s="1"/>
  <c r="H11" i="62" s="1"/>
  <c r="H12" i="62" s="1"/>
  <c r="H13" i="62" s="1"/>
  <c r="H14" i="62" s="1"/>
  <c r="H15" i="62" s="1"/>
  <c r="H16" i="62" s="1"/>
  <c r="H17" i="62" s="1"/>
  <c r="H18" i="62" s="1"/>
  <c r="H19" i="62" s="1"/>
  <c r="H20" i="62" s="1"/>
  <c r="H21" i="62" s="1"/>
  <c r="H22" i="62" s="1"/>
  <c r="H23" i="62" s="1"/>
  <c r="H24" i="62" s="1"/>
  <c r="H25" i="62" s="1"/>
  <c r="H26" i="62" s="1"/>
  <c r="H27" i="62" s="1"/>
  <c r="H28" i="62" s="1"/>
  <c r="H29" i="62" s="1"/>
  <c r="H30" i="62" s="1"/>
  <c r="H31" i="62" s="1"/>
  <c r="H32" i="62" s="1"/>
  <c r="H33" i="62" s="1"/>
  <c r="H34" i="62" s="1"/>
  <c r="H35" i="62" s="1"/>
  <c r="H36" i="62" s="1"/>
  <c r="H37" i="62" s="1"/>
  <c r="H38" i="62" s="1"/>
  <c r="H39" i="62" s="1"/>
  <c r="H40" i="62" s="1"/>
  <c r="H41" i="62" s="1"/>
  <c r="H42" i="62" s="1"/>
  <c r="H43" i="62" s="1"/>
  <c r="H8" i="62"/>
  <c r="P17" i="63"/>
  <c r="Q17" i="63"/>
  <c r="P18" i="63"/>
  <c r="Q18" i="63"/>
  <c r="P19" i="63"/>
  <c r="Q19" i="63"/>
  <c r="P20" i="63"/>
  <c r="Q20" i="63"/>
  <c r="P21" i="63"/>
  <c r="Q21" i="63"/>
  <c r="P22" i="63"/>
  <c r="Q22" i="63"/>
  <c r="H44" i="63"/>
  <c r="I44" i="63" s="1"/>
  <c r="H45" i="63"/>
  <c r="H46" i="63" s="1"/>
  <c r="I45" i="63"/>
  <c r="L45" i="63" s="1"/>
  <c r="J45" i="63"/>
  <c r="M45" i="63" s="1"/>
  <c r="H9" i="63"/>
  <c r="H10" i="63" s="1"/>
  <c r="H11" i="63" s="1"/>
  <c r="H12" i="63" s="1"/>
  <c r="H13" i="63" s="1"/>
  <c r="H14" i="63" s="1"/>
  <c r="H15" i="63" s="1"/>
  <c r="H16" i="63" s="1"/>
  <c r="H17" i="63" s="1"/>
  <c r="H18" i="63" s="1"/>
  <c r="H19" i="63" s="1"/>
  <c r="H20" i="63" s="1"/>
  <c r="H21" i="63" s="1"/>
  <c r="H22" i="63" s="1"/>
  <c r="H23" i="63" s="1"/>
  <c r="H24" i="63" s="1"/>
  <c r="H25" i="63" s="1"/>
  <c r="H26" i="63" s="1"/>
  <c r="H27" i="63" s="1"/>
  <c r="H28" i="63" s="1"/>
  <c r="H29" i="63" s="1"/>
  <c r="H30" i="63" s="1"/>
  <c r="H31" i="63" s="1"/>
  <c r="H32" i="63" s="1"/>
  <c r="H33" i="63" s="1"/>
  <c r="H34" i="63" s="1"/>
  <c r="H35" i="63" s="1"/>
  <c r="H36" i="63" s="1"/>
  <c r="H37" i="63" s="1"/>
  <c r="H38" i="63" s="1"/>
  <c r="H39" i="63" s="1"/>
  <c r="H40" i="63" s="1"/>
  <c r="H41" i="63" s="1"/>
  <c r="H42" i="63" s="1"/>
  <c r="H43" i="63" s="1"/>
  <c r="H8" i="63"/>
  <c r="P17" i="64"/>
  <c r="Q17" i="64"/>
  <c r="R17" i="64"/>
  <c r="P18" i="64"/>
  <c r="Q18" i="64"/>
  <c r="R18" i="64"/>
  <c r="P19" i="64"/>
  <c r="Q19" i="64"/>
  <c r="R19" i="64"/>
  <c r="P20" i="64"/>
  <c r="Q20" i="64"/>
  <c r="R20" i="64"/>
  <c r="P21" i="64"/>
  <c r="Q21" i="64"/>
  <c r="R21" i="64"/>
  <c r="P22" i="64"/>
  <c r="Q22" i="64"/>
  <c r="R22" i="64"/>
  <c r="H44" i="64"/>
  <c r="H45" i="64" s="1"/>
  <c r="I44" i="64"/>
  <c r="J44" i="64" s="1"/>
  <c r="H9" i="64"/>
  <c r="H10" i="64" s="1"/>
  <c r="H11" i="64" s="1"/>
  <c r="H12" i="64" s="1"/>
  <c r="H13" i="64" s="1"/>
  <c r="H14" i="64" s="1"/>
  <c r="H15" i="64" s="1"/>
  <c r="H16" i="64" s="1"/>
  <c r="H17" i="64" s="1"/>
  <c r="H18" i="64" s="1"/>
  <c r="H19" i="64" s="1"/>
  <c r="H20" i="64" s="1"/>
  <c r="H21" i="64" s="1"/>
  <c r="H22" i="64" s="1"/>
  <c r="H23" i="64" s="1"/>
  <c r="H24" i="64" s="1"/>
  <c r="H25" i="64" s="1"/>
  <c r="H26" i="64" s="1"/>
  <c r="H27" i="64" s="1"/>
  <c r="H28" i="64" s="1"/>
  <c r="H29" i="64" s="1"/>
  <c r="H30" i="64" s="1"/>
  <c r="H31" i="64" s="1"/>
  <c r="H32" i="64" s="1"/>
  <c r="H33" i="64" s="1"/>
  <c r="H34" i="64" s="1"/>
  <c r="H35" i="64" s="1"/>
  <c r="H36" i="64" s="1"/>
  <c r="H37" i="64" s="1"/>
  <c r="H38" i="64" s="1"/>
  <c r="H39" i="64" s="1"/>
  <c r="H40" i="64" s="1"/>
  <c r="H41" i="64" s="1"/>
  <c r="H42" i="64" s="1"/>
  <c r="H43" i="64" s="1"/>
  <c r="H8" i="64"/>
  <c r="P17" i="69"/>
  <c r="Q17" i="69"/>
  <c r="R17" i="69"/>
  <c r="P18" i="69"/>
  <c r="Q18" i="69"/>
  <c r="R18" i="69"/>
  <c r="P19" i="69"/>
  <c r="Q19" i="69"/>
  <c r="R19" i="69"/>
  <c r="P20" i="69"/>
  <c r="Q20" i="69"/>
  <c r="R20" i="69"/>
  <c r="P21" i="69"/>
  <c r="Q21" i="69"/>
  <c r="R21" i="69"/>
  <c r="P22" i="69"/>
  <c r="Q22" i="69"/>
  <c r="R22" i="69"/>
  <c r="H9" i="69"/>
  <c r="H10" i="69" s="1"/>
  <c r="H11" i="69" s="1"/>
  <c r="H12" i="69" s="1"/>
  <c r="H13" i="69" s="1"/>
  <c r="H14" i="69" s="1"/>
  <c r="H15" i="69" s="1"/>
  <c r="H16" i="69" s="1"/>
  <c r="H17" i="69" s="1"/>
  <c r="H18" i="69" s="1"/>
  <c r="H19" i="69" s="1"/>
  <c r="H20" i="69" s="1"/>
  <c r="H21" i="69" s="1"/>
  <c r="H22" i="69" s="1"/>
  <c r="H23" i="69" s="1"/>
  <c r="H24" i="69" s="1"/>
  <c r="H25" i="69" s="1"/>
  <c r="H26" i="69" s="1"/>
  <c r="H27" i="69" s="1"/>
  <c r="H28" i="69" s="1"/>
  <c r="H29" i="69" s="1"/>
  <c r="H30" i="69" s="1"/>
  <c r="H31" i="69" s="1"/>
  <c r="H32" i="69" s="1"/>
  <c r="H33" i="69" s="1"/>
  <c r="H34" i="69" s="1"/>
  <c r="H35" i="69" s="1"/>
  <c r="H36" i="69" s="1"/>
  <c r="H37" i="69" s="1"/>
  <c r="H38" i="69" s="1"/>
  <c r="H39" i="69" s="1"/>
  <c r="H40" i="69" s="1"/>
  <c r="H41" i="69" s="1"/>
  <c r="H42" i="69" s="1"/>
  <c r="H43" i="69" s="1"/>
  <c r="H44" i="69" s="1"/>
  <c r="H8" i="69"/>
  <c r="H46" i="12"/>
  <c r="I46" i="12"/>
  <c r="L46" i="12"/>
  <c r="H47" i="12"/>
  <c r="I47" i="12"/>
  <c r="M47" i="12"/>
  <c r="K47" i="12"/>
  <c r="N47" i="12" s="1"/>
  <c r="L47" i="12"/>
  <c r="H9" i="12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H22" i="12" s="1"/>
  <c r="H23" i="12" s="1"/>
  <c r="H24" i="12" s="1"/>
  <c r="H25" i="12" s="1"/>
  <c r="H26" i="12" s="1"/>
  <c r="H27" i="12" s="1"/>
  <c r="H28" i="12" s="1"/>
  <c r="H29" i="12" s="1"/>
  <c r="H30" i="12" s="1"/>
  <c r="H31" i="12" s="1"/>
  <c r="H32" i="12" s="1"/>
  <c r="H33" i="12" s="1"/>
  <c r="H34" i="12" s="1"/>
  <c r="H35" i="12" s="1"/>
  <c r="H36" i="12" s="1"/>
  <c r="H37" i="12" s="1"/>
  <c r="H38" i="12" s="1"/>
  <c r="H39" i="12" s="1"/>
  <c r="H40" i="12" s="1"/>
  <c r="H41" i="12" s="1"/>
  <c r="H42" i="12" s="1"/>
  <c r="H43" i="12" s="1"/>
  <c r="H44" i="12" s="1"/>
  <c r="H8" i="12"/>
  <c r="S41" i="1"/>
  <c r="S40" i="1"/>
  <c r="B11" i="61"/>
  <c r="B12" i="61" s="1"/>
  <c r="B13" i="61" s="1"/>
  <c r="B14" i="61" s="1"/>
  <c r="V7" i="1"/>
  <c r="T7" i="1"/>
  <c r="Q13" i="1"/>
  <c r="Q14" i="1"/>
  <c r="Q15" i="1"/>
  <c r="Q16" i="1"/>
  <c r="Q17" i="1"/>
  <c r="Q18" i="1"/>
  <c r="Q19" i="1"/>
  <c r="Q20" i="1"/>
  <c r="T36" i="75"/>
  <c r="T37" i="75"/>
  <c r="T38" i="75"/>
  <c r="T39" i="75"/>
  <c r="T40" i="75"/>
  <c r="T41" i="75"/>
  <c r="T42" i="75"/>
  <c r="T43" i="75"/>
  <c r="G31" i="75"/>
  <c r="G32" i="75" s="1"/>
  <c r="G33" i="75" s="1"/>
  <c r="G34" i="75" s="1"/>
  <c r="G35" i="75" s="1"/>
  <c r="G36" i="75" s="1"/>
  <c r="G37" i="75" s="1"/>
  <c r="G38" i="75" s="1"/>
  <c r="G39" i="75" s="1"/>
  <c r="G40" i="75" s="1"/>
  <c r="G41" i="75" s="1"/>
  <c r="G42" i="75" s="1"/>
  <c r="G43" i="75" s="1"/>
  <c r="D31" i="75"/>
  <c r="D32" i="75" s="1"/>
  <c r="D33" i="75" s="1"/>
  <c r="D34" i="75" s="1"/>
  <c r="D35" i="75" s="1"/>
  <c r="D36" i="75" s="1"/>
  <c r="D37" i="75" s="1"/>
  <c r="D38" i="75" s="1"/>
  <c r="D39" i="75" s="1"/>
  <c r="D40" i="75" s="1"/>
  <c r="D41" i="75" s="1"/>
  <c r="D42" i="75" s="1"/>
  <c r="D43" i="75" s="1"/>
  <c r="B22" i="59" l="1"/>
  <c r="J16" i="80"/>
  <c r="M16" i="80" s="1"/>
  <c r="L16" i="80"/>
  <c r="O16" i="80" s="1"/>
  <c r="K16" i="80"/>
  <c r="N16" i="80" s="1"/>
  <c r="H18" i="80"/>
  <c r="I17" i="80"/>
  <c r="L16" i="79"/>
  <c r="O16" i="79" s="1"/>
  <c r="J16" i="79"/>
  <c r="M16" i="79" s="1"/>
  <c r="K16" i="79"/>
  <c r="N16" i="79" s="1"/>
  <c r="H18" i="79"/>
  <c r="I17" i="79"/>
  <c r="B45" i="33"/>
  <c r="J44" i="62"/>
  <c r="K44" i="62"/>
  <c r="L44" i="62"/>
  <c r="I46" i="62"/>
  <c r="H47" i="62"/>
  <c r="I47" i="62" s="1"/>
  <c r="O45" i="62"/>
  <c r="R45" i="62" s="1"/>
  <c r="K45" i="62"/>
  <c r="P45" i="62"/>
  <c r="J44" i="63"/>
  <c r="K44" i="63"/>
  <c r="L44" i="63"/>
  <c r="I46" i="63"/>
  <c r="H47" i="63"/>
  <c r="I47" i="63" s="1"/>
  <c r="O45" i="63"/>
  <c r="R45" i="63" s="1"/>
  <c r="K45" i="63"/>
  <c r="P45" i="63"/>
  <c r="I45" i="64"/>
  <c r="H46" i="64"/>
  <c r="M44" i="64"/>
  <c r="P44" i="64" s="1"/>
  <c r="L44" i="64"/>
  <c r="K44" i="64"/>
  <c r="H45" i="69"/>
  <c r="I44" i="69"/>
  <c r="L44" i="69"/>
  <c r="M46" i="12"/>
  <c r="P46" i="12" s="1"/>
  <c r="O46" i="12"/>
  <c r="R46" i="12" s="1"/>
  <c r="Q47" i="12"/>
  <c r="O47" i="12"/>
  <c r="R47" i="12" s="1"/>
  <c r="K46" i="12"/>
  <c r="P47" i="12"/>
  <c r="I44" i="12"/>
  <c r="M44" i="12" s="1"/>
  <c r="P44" i="12" s="1"/>
  <c r="H45" i="12"/>
  <c r="I45" i="12" s="1"/>
  <c r="L45" i="12"/>
  <c r="O45" i="12" s="1"/>
  <c r="K45" i="12"/>
  <c r="B23" i="59" l="1"/>
  <c r="L17" i="80"/>
  <c r="K17" i="80"/>
  <c r="J17" i="80"/>
  <c r="I18" i="80"/>
  <c r="H19" i="80"/>
  <c r="L17" i="79"/>
  <c r="J17" i="79"/>
  <c r="K17" i="79"/>
  <c r="H19" i="79"/>
  <c r="I18" i="79"/>
  <c r="B46" i="33"/>
  <c r="B47" i="33" s="1"/>
  <c r="N44" i="62"/>
  <c r="Q44" i="62"/>
  <c r="N45" i="62"/>
  <c r="Q45" i="62"/>
  <c r="S45" i="62" s="1"/>
  <c r="M44" i="62"/>
  <c r="P44" i="62" s="1"/>
  <c r="S44" i="62" s="1"/>
  <c r="L47" i="62"/>
  <c r="J47" i="62"/>
  <c r="K47" i="62"/>
  <c r="J46" i="62"/>
  <c r="K46" i="62"/>
  <c r="L46" i="62"/>
  <c r="O44" i="62"/>
  <c r="R44" i="62" s="1"/>
  <c r="N44" i="63"/>
  <c r="Q44" i="63" s="1"/>
  <c r="M44" i="63"/>
  <c r="P44" i="63" s="1"/>
  <c r="L47" i="63"/>
  <c r="J47" i="63"/>
  <c r="K47" i="63"/>
  <c r="N45" i="63"/>
  <c r="Q45" i="63" s="1"/>
  <c r="S45" i="63" s="1"/>
  <c r="E45" i="61" s="1"/>
  <c r="K46" i="63"/>
  <c r="L46" i="63"/>
  <c r="J46" i="63"/>
  <c r="O44" i="63"/>
  <c r="R44" i="63" s="1"/>
  <c r="H47" i="64"/>
  <c r="I47" i="64" s="1"/>
  <c r="I46" i="64"/>
  <c r="N44" i="64"/>
  <c r="Q44" i="64" s="1"/>
  <c r="O44" i="64"/>
  <c r="R44" i="64" s="1"/>
  <c r="J45" i="64"/>
  <c r="K45" i="64"/>
  <c r="L45" i="64"/>
  <c r="K44" i="69"/>
  <c r="N44" i="69" s="1"/>
  <c r="Q44" i="69" s="1"/>
  <c r="J44" i="69"/>
  <c r="I45" i="69"/>
  <c r="H46" i="69"/>
  <c r="O44" i="69"/>
  <c r="R44" i="69" s="1"/>
  <c r="N46" i="12"/>
  <c r="Q46" i="12" s="1"/>
  <c r="S46" i="12" s="1"/>
  <c r="C46" i="61" s="1"/>
  <c r="S47" i="12"/>
  <c r="C47" i="61" s="1"/>
  <c r="M45" i="12"/>
  <c r="P45" i="12" s="1"/>
  <c r="K44" i="12"/>
  <c r="L44" i="12"/>
  <c r="R45" i="12"/>
  <c r="O44" i="12"/>
  <c r="R44" i="12" s="1"/>
  <c r="N44" i="12"/>
  <c r="Q44" i="12" s="1"/>
  <c r="N45" i="12"/>
  <c r="Q45" i="12" s="1"/>
  <c r="B24" i="59" l="1"/>
  <c r="L18" i="80"/>
  <c r="J18" i="80"/>
  <c r="K18" i="80"/>
  <c r="M17" i="80"/>
  <c r="P17" i="80"/>
  <c r="N17" i="80"/>
  <c r="Q17" i="80" s="1"/>
  <c r="H20" i="80"/>
  <c r="I19" i="80"/>
  <c r="O17" i="80"/>
  <c r="R17" i="80" s="1"/>
  <c r="O17" i="79"/>
  <c r="R17" i="79" s="1"/>
  <c r="L18" i="79"/>
  <c r="J18" i="79"/>
  <c r="K18" i="79"/>
  <c r="N17" i="79"/>
  <c r="Q17" i="79" s="1"/>
  <c r="I19" i="79"/>
  <c r="H20" i="79"/>
  <c r="M17" i="79"/>
  <c r="P17" i="79" s="1"/>
  <c r="S44" i="63"/>
  <c r="E44" i="61" s="1"/>
  <c r="S44" i="12"/>
  <c r="C44" i="61" s="1"/>
  <c r="L44" i="61" s="1"/>
  <c r="S45" i="12"/>
  <c r="C45" i="61" s="1"/>
  <c r="L45" i="61" s="1"/>
  <c r="O46" i="62"/>
  <c r="R46" i="62" s="1"/>
  <c r="O47" i="62"/>
  <c r="R47" i="62"/>
  <c r="N46" i="62"/>
  <c r="Q46" i="62" s="1"/>
  <c r="M46" i="62"/>
  <c r="P46" i="62" s="1"/>
  <c r="S46" i="62" s="1"/>
  <c r="N47" i="62"/>
  <c r="Q47" i="62" s="1"/>
  <c r="M47" i="62"/>
  <c r="P47" i="62"/>
  <c r="O47" i="63"/>
  <c r="R47" i="63" s="1"/>
  <c r="O46" i="63"/>
  <c r="R46" i="63" s="1"/>
  <c r="N47" i="63"/>
  <c r="Q47" i="63" s="1"/>
  <c r="N46" i="63"/>
  <c r="Q46" i="63" s="1"/>
  <c r="M46" i="63"/>
  <c r="P46" i="63" s="1"/>
  <c r="S46" i="63" s="1"/>
  <c r="E46" i="61" s="1"/>
  <c r="L46" i="61" s="1"/>
  <c r="M47" i="63"/>
  <c r="P47" i="63"/>
  <c r="S44" i="64"/>
  <c r="M45" i="64"/>
  <c r="P45" i="64"/>
  <c r="J46" i="64"/>
  <c r="K46" i="64"/>
  <c r="L46" i="64"/>
  <c r="O45" i="64"/>
  <c r="R45" i="64" s="1"/>
  <c r="J47" i="64"/>
  <c r="K47" i="64"/>
  <c r="L47" i="64"/>
  <c r="N45" i="64"/>
  <c r="Q45" i="64"/>
  <c r="I46" i="69"/>
  <c r="H47" i="69"/>
  <c r="I47" i="69" s="1"/>
  <c r="J45" i="69"/>
  <c r="M45" i="69" s="1"/>
  <c r="P45" i="69" s="1"/>
  <c r="L45" i="69"/>
  <c r="K45" i="69"/>
  <c r="M44" i="69"/>
  <c r="P44" i="69" s="1"/>
  <c r="S44" i="69" s="1"/>
  <c r="B25" i="59" l="1"/>
  <c r="H21" i="80"/>
  <c r="I20" i="80"/>
  <c r="N18" i="80"/>
  <c r="Q18" i="80" s="1"/>
  <c r="S17" i="80"/>
  <c r="M18" i="80"/>
  <c r="P18" i="80" s="1"/>
  <c r="L19" i="80"/>
  <c r="K19" i="80"/>
  <c r="J19" i="80"/>
  <c r="O18" i="80"/>
  <c r="R18" i="80"/>
  <c r="H21" i="79"/>
  <c r="I20" i="79"/>
  <c r="L19" i="79"/>
  <c r="J19" i="79"/>
  <c r="K19" i="79"/>
  <c r="M18" i="79"/>
  <c r="P18" i="79" s="1"/>
  <c r="S17" i="79"/>
  <c r="O18" i="79"/>
  <c r="R18" i="79" s="1"/>
  <c r="N18" i="79"/>
  <c r="Q18" i="79" s="1"/>
  <c r="S47" i="62"/>
  <c r="S47" i="63"/>
  <c r="E47" i="61" s="1"/>
  <c r="L47" i="61" s="1"/>
  <c r="M46" i="64"/>
  <c r="P46" i="64" s="1"/>
  <c r="S46" i="64" s="1"/>
  <c r="O46" i="64"/>
  <c r="R46" i="64" s="1"/>
  <c r="N46" i="64"/>
  <c r="Q46" i="64" s="1"/>
  <c r="O47" i="64"/>
  <c r="R47" i="64" s="1"/>
  <c r="M47" i="64"/>
  <c r="P47" i="64" s="1"/>
  <c r="S47" i="64" s="1"/>
  <c r="S45" i="64"/>
  <c r="F41" i="1" s="1"/>
  <c r="N47" i="64"/>
  <c r="Q47" i="64" s="1"/>
  <c r="N45" i="69"/>
  <c r="Q45" i="69" s="1"/>
  <c r="S45" i="69" s="1"/>
  <c r="O45" i="69"/>
  <c r="R45" i="69"/>
  <c r="J47" i="69"/>
  <c r="M47" i="69" s="1"/>
  <c r="P47" i="69" s="1"/>
  <c r="L47" i="69"/>
  <c r="O47" i="69" s="1"/>
  <c r="R47" i="69" s="1"/>
  <c r="K47" i="69"/>
  <c r="K46" i="69"/>
  <c r="N46" i="69" s="1"/>
  <c r="Q46" i="69" s="1"/>
  <c r="L46" i="69"/>
  <c r="J46" i="69"/>
  <c r="B26" i="59" l="1"/>
  <c r="S18" i="80"/>
  <c r="M19" i="80"/>
  <c r="P19" i="80" s="1"/>
  <c r="L20" i="80"/>
  <c r="J20" i="80"/>
  <c r="K20" i="80"/>
  <c r="O19" i="80"/>
  <c r="R19" i="80" s="1"/>
  <c r="N19" i="80"/>
  <c r="Q19" i="80" s="1"/>
  <c r="H22" i="80"/>
  <c r="I21" i="80"/>
  <c r="S18" i="79"/>
  <c r="M19" i="79"/>
  <c r="P19" i="79" s="1"/>
  <c r="O19" i="79"/>
  <c r="R19" i="79" s="1"/>
  <c r="L20" i="79"/>
  <c r="J20" i="79"/>
  <c r="K20" i="79"/>
  <c r="N19" i="79"/>
  <c r="Q19" i="79" s="1"/>
  <c r="I21" i="79"/>
  <c r="H22" i="79"/>
  <c r="N47" i="69"/>
  <c r="Q47" i="69" s="1"/>
  <c r="S47" i="69" s="1"/>
  <c r="F43" i="1" s="1"/>
  <c r="M46" i="69"/>
  <c r="P46" i="69"/>
  <c r="O46" i="69"/>
  <c r="R46" i="69"/>
  <c r="B27" i="59" l="1"/>
  <c r="S19" i="80"/>
  <c r="M20" i="80"/>
  <c r="P20" i="80" s="1"/>
  <c r="O20" i="80"/>
  <c r="R20" i="80"/>
  <c r="L21" i="80"/>
  <c r="J21" i="80"/>
  <c r="K21" i="80"/>
  <c r="H23" i="80"/>
  <c r="I22" i="80"/>
  <c r="N20" i="80"/>
  <c r="Q20" i="80" s="1"/>
  <c r="S19" i="79"/>
  <c r="O20" i="79"/>
  <c r="R20" i="79" s="1"/>
  <c r="M20" i="79"/>
  <c r="P20" i="79" s="1"/>
  <c r="H23" i="79"/>
  <c r="I22" i="79"/>
  <c r="L21" i="79"/>
  <c r="J21" i="79"/>
  <c r="K21" i="79"/>
  <c r="N20" i="79"/>
  <c r="Q20" i="79" s="1"/>
  <c r="S46" i="69"/>
  <c r="B28" i="59" l="1"/>
  <c r="B29" i="59" s="1"/>
  <c r="C27" i="59"/>
  <c r="S20" i="80"/>
  <c r="O21" i="80"/>
  <c r="R21" i="80" s="1"/>
  <c r="M21" i="80"/>
  <c r="P21" i="80" s="1"/>
  <c r="J22" i="80"/>
  <c r="L22" i="80"/>
  <c r="K22" i="80"/>
  <c r="N21" i="80"/>
  <c r="Q21" i="80" s="1"/>
  <c r="H24" i="80"/>
  <c r="I23" i="80"/>
  <c r="M21" i="79"/>
  <c r="P21" i="79" s="1"/>
  <c r="L22" i="79"/>
  <c r="K22" i="79"/>
  <c r="J22" i="79"/>
  <c r="I23" i="79"/>
  <c r="H24" i="79"/>
  <c r="S20" i="79"/>
  <c r="O21" i="79"/>
  <c r="R21" i="79" s="1"/>
  <c r="N21" i="79"/>
  <c r="Q21" i="79" s="1"/>
  <c r="L26" i="75"/>
  <c r="L20" i="75"/>
  <c r="L15" i="75"/>
  <c r="B30" i="59" l="1"/>
  <c r="B31" i="59" s="1"/>
  <c r="B32" i="59" s="1"/>
  <c r="B33" i="59" s="1"/>
  <c r="B34" i="59" s="1"/>
  <c r="B35" i="59" s="1"/>
  <c r="B36" i="59" s="1"/>
  <c r="B37" i="59" s="1"/>
  <c r="B38" i="59" s="1"/>
  <c r="B39" i="59" s="1"/>
  <c r="B40" i="59" s="1"/>
  <c r="B41" i="59" s="1"/>
  <c r="B42" i="59" s="1"/>
  <c r="B43" i="59" s="1"/>
  <c r="B44" i="59" s="1"/>
  <c r="B45" i="59" s="1"/>
  <c r="B46" i="59" s="1"/>
  <c r="B47" i="59" s="1"/>
  <c r="B48" i="59" s="1"/>
  <c r="C21" i="59"/>
  <c r="C22" i="59"/>
  <c r="C23" i="59"/>
  <c r="C24" i="59"/>
  <c r="C25" i="59"/>
  <c r="C26" i="59"/>
  <c r="O34" i="75"/>
  <c r="T34" i="75" s="1"/>
  <c r="Q11" i="1" s="1"/>
  <c r="O33" i="75"/>
  <c r="O32" i="75"/>
  <c r="O35" i="75"/>
  <c r="T35" i="75" s="1"/>
  <c r="Q12" i="1" s="1"/>
  <c r="J30" i="75"/>
  <c r="T30" i="75" s="1"/>
  <c r="Q7" i="1" s="1"/>
  <c r="J32" i="75"/>
  <c r="T32" i="75" s="1"/>
  <c r="Q9" i="1" s="1"/>
  <c r="J33" i="75"/>
  <c r="T33" i="75" s="1"/>
  <c r="Q10" i="1" s="1"/>
  <c r="J31" i="75"/>
  <c r="T31" i="75" s="1"/>
  <c r="Q8" i="1" s="1"/>
  <c r="S21" i="80"/>
  <c r="O22" i="80"/>
  <c r="R22" i="80"/>
  <c r="L23" i="80"/>
  <c r="J23" i="80"/>
  <c r="K23" i="80"/>
  <c r="H25" i="80"/>
  <c r="I24" i="80"/>
  <c r="M22" i="80"/>
  <c r="P22" i="80" s="1"/>
  <c r="N22" i="80"/>
  <c r="Q22" i="80" s="1"/>
  <c r="H25" i="79"/>
  <c r="I24" i="79"/>
  <c r="L23" i="79"/>
  <c r="J23" i="79"/>
  <c r="K23" i="79"/>
  <c r="M22" i="79"/>
  <c r="P22" i="79" s="1"/>
  <c r="N22" i="79"/>
  <c r="Q22" i="79" s="1"/>
  <c r="O22" i="79"/>
  <c r="R22" i="79" s="1"/>
  <c r="S21" i="79"/>
  <c r="K10" i="33"/>
  <c r="G39" i="72"/>
  <c r="G32" i="72"/>
  <c r="G42" i="72" s="1"/>
  <c r="G25" i="72"/>
  <c r="G9" i="72"/>
  <c r="G16" i="72" s="1"/>
  <c r="G18" i="72" s="1"/>
  <c r="C48" i="59" l="1"/>
  <c r="B49" i="59"/>
  <c r="S22" i="80"/>
  <c r="M23" i="80"/>
  <c r="P23" i="80" s="1"/>
  <c r="H26" i="80"/>
  <c r="I25" i="80"/>
  <c r="O23" i="80"/>
  <c r="R23" i="80" s="1"/>
  <c r="J24" i="80"/>
  <c r="L24" i="80"/>
  <c r="K24" i="80"/>
  <c r="N23" i="80"/>
  <c r="Q23" i="80" s="1"/>
  <c r="I25" i="79"/>
  <c r="H26" i="79"/>
  <c r="N23" i="79"/>
  <c r="Q23" i="79" s="1"/>
  <c r="S22" i="79"/>
  <c r="O23" i="79"/>
  <c r="R23" i="79" s="1"/>
  <c r="M23" i="79"/>
  <c r="P23" i="79" s="1"/>
  <c r="L24" i="79"/>
  <c r="J24" i="79"/>
  <c r="K24" i="79"/>
  <c r="I19" i="33"/>
  <c r="D15" i="1" s="1"/>
  <c r="I43" i="33"/>
  <c r="D39" i="1" s="1"/>
  <c r="I27" i="33"/>
  <c r="D23" i="1" s="1"/>
  <c r="I23" i="33"/>
  <c r="D19" i="1" s="1"/>
  <c r="I44" i="33"/>
  <c r="D40" i="1" s="1"/>
  <c r="I21" i="33"/>
  <c r="D17" i="1" s="1"/>
  <c r="I32" i="33"/>
  <c r="D28" i="1" s="1"/>
  <c r="I25" i="33"/>
  <c r="D21" i="1" s="1"/>
  <c r="I17" i="33"/>
  <c r="D13" i="1" s="1"/>
  <c r="I31" i="33"/>
  <c r="D27" i="1" s="1"/>
  <c r="I29" i="33"/>
  <c r="D25" i="1" s="1"/>
  <c r="I37" i="33"/>
  <c r="D33" i="1" s="1"/>
  <c r="I28" i="33"/>
  <c r="D24" i="1" s="1"/>
  <c r="I45" i="33"/>
  <c r="D41" i="1" s="1"/>
  <c r="I39" i="33"/>
  <c r="D35" i="1" s="1"/>
  <c r="I40" i="33"/>
  <c r="D36" i="1" s="1"/>
  <c r="I18" i="33"/>
  <c r="D14" i="1" s="1"/>
  <c r="I26" i="33"/>
  <c r="D22" i="1" s="1"/>
  <c r="I41" i="33"/>
  <c r="D37" i="1" s="1"/>
  <c r="I42" i="33"/>
  <c r="D38" i="1" s="1"/>
  <c r="I36" i="33"/>
  <c r="D32" i="1" s="1"/>
  <c r="I33" i="33"/>
  <c r="D29" i="1" s="1"/>
  <c r="I24" i="33"/>
  <c r="D20" i="1" s="1"/>
  <c r="I47" i="33"/>
  <c r="D43" i="1" s="1"/>
  <c r="I20" i="33"/>
  <c r="D16" i="1" s="1"/>
  <c r="I46" i="33"/>
  <c r="D42" i="1" s="1"/>
  <c r="I34" i="33"/>
  <c r="D30" i="1" s="1"/>
  <c r="I38" i="33"/>
  <c r="D34" i="1" s="1"/>
  <c r="I30" i="33"/>
  <c r="D26" i="1" s="1"/>
  <c r="I22" i="33"/>
  <c r="D18" i="1" s="1"/>
  <c r="I35" i="33"/>
  <c r="D31" i="1" s="1"/>
  <c r="G44" i="72"/>
  <c r="G45" i="72" s="1"/>
  <c r="A3" i="1"/>
  <c r="C49" i="59" l="1"/>
  <c r="B50" i="59"/>
  <c r="S23" i="80"/>
  <c r="M24" i="80"/>
  <c r="P24" i="80" s="1"/>
  <c r="L25" i="80"/>
  <c r="J25" i="80"/>
  <c r="K25" i="80"/>
  <c r="H27" i="80"/>
  <c r="I26" i="80"/>
  <c r="N24" i="80"/>
  <c r="Q24" i="80" s="1"/>
  <c r="O24" i="80"/>
  <c r="R24" i="80"/>
  <c r="S23" i="79"/>
  <c r="H27" i="79"/>
  <c r="I26" i="79"/>
  <c r="L25" i="79"/>
  <c r="K25" i="79"/>
  <c r="J25" i="79"/>
  <c r="O24" i="79"/>
  <c r="R24" i="79" s="1"/>
  <c r="N24" i="79"/>
  <c r="Q24" i="79" s="1"/>
  <c r="M24" i="79"/>
  <c r="P24" i="79" s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2" i="1"/>
  <c r="S43" i="1"/>
  <c r="I44" i="1"/>
  <c r="J44" i="1"/>
  <c r="G44" i="1"/>
  <c r="C50" i="59" l="1"/>
  <c r="B51" i="59"/>
  <c r="C51" i="59" s="1"/>
  <c r="S24" i="80"/>
  <c r="J26" i="80"/>
  <c r="L26" i="80"/>
  <c r="K26" i="80"/>
  <c r="N25" i="80"/>
  <c r="Q25" i="80" s="1"/>
  <c r="H28" i="80"/>
  <c r="I27" i="80"/>
  <c r="M25" i="80"/>
  <c r="P25" i="80" s="1"/>
  <c r="O25" i="80"/>
  <c r="R25" i="80" s="1"/>
  <c r="S24" i="79"/>
  <c r="L26" i="79"/>
  <c r="K26" i="79"/>
  <c r="J26" i="79"/>
  <c r="M25" i="79"/>
  <c r="P25" i="79" s="1"/>
  <c r="I27" i="79"/>
  <c r="H28" i="79"/>
  <c r="N25" i="79"/>
  <c r="Q25" i="79" s="1"/>
  <c r="O25" i="79"/>
  <c r="R25" i="79" s="1"/>
  <c r="B8" i="1"/>
  <c r="B9" i="1" s="1"/>
  <c r="B10" i="1" s="1"/>
  <c r="B11" i="1" s="1"/>
  <c r="B12" i="1" s="1"/>
  <c r="A8" i="1"/>
  <c r="S7" i="1"/>
  <c r="W7" i="1" s="1"/>
  <c r="L8" i="1" l="1"/>
  <c r="V8" i="1"/>
  <c r="T8" i="1"/>
  <c r="N8" i="1"/>
  <c r="S25" i="80"/>
  <c r="N26" i="80"/>
  <c r="Q26" i="80" s="1"/>
  <c r="L27" i="80"/>
  <c r="J27" i="80"/>
  <c r="K27" i="80"/>
  <c r="H29" i="80"/>
  <c r="I28" i="80"/>
  <c r="O26" i="80"/>
  <c r="R26" i="80" s="1"/>
  <c r="M26" i="80"/>
  <c r="P26" i="80" s="1"/>
  <c r="S25" i="79"/>
  <c r="O26" i="79"/>
  <c r="R26" i="79" s="1"/>
  <c r="H29" i="79"/>
  <c r="I28" i="79"/>
  <c r="L27" i="79"/>
  <c r="J27" i="79"/>
  <c r="K27" i="79"/>
  <c r="N26" i="79"/>
  <c r="Q26" i="79" s="1"/>
  <c r="M26" i="79"/>
  <c r="P26" i="79" s="1"/>
  <c r="U7" i="1"/>
  <c r="A9" i="1"/>
  <c r="S8" i="1"/>
  <c r="N9" i="1" l="1"/>
  <c r="L9" i="1"/>
  <c r="S26" i="80"/>
  <c r="J28" i="80"/>
  <c r="L28" i="80"/>
  <c r="K28" i="80"/>
  <c r="M27" i="80"/>
  <c r="P27" i="80" s="1"/>
  <c r="N27" i="80"/>
  <c r="Q27" i="80" s="1"/>
  <c r="R27" i="80"/>
  <c r="O27" i="80"/>
  <c r="H30" i="80"/>
  <c r="I29" i="80"/>
  <c r="N27" i="79"/>
  <c r="Q27" i="79" s="1"/>
  <c r="M27" i="79"/>
  <c r="P27" i="79" s="1"/>
  <c r="S27" i="79" s="1"/>
  <c r="O27" i="79"/>
  <c r="R27" i="79" s="1"/>
  <c r="L28" i="79"/>
  <c r="K28" i="79"/>
  <c r="J28" i="79"/>
  <c r="S26" i="79"/>
  <c r="I29" i="79"/>
  <c r="H30" i="79"/>
  <c r="T9" i="1"/>
  <c r="V9" i="1"/>
  <c r="U8" i="1"/>
  <c r="W8" i="1"/>
  <c r="A10" i="1"/>
  <c r="S9" i="1"/>
  <c r="G41" i="70"/>
  <c r="G34" i="70"/>
  <c r="G27" i="70"/>
  <c r="W9" i="1" l="1"/>
  <c r="N10" i="1"/>
  <c r="L10" i="1"/>
  <c r="S27" i="80"/>
  <c r="L29" i="80"/>
  <c r="K29" i="80"/>
  <c r="J29" i="80"/>
  <c r="N28" i="80"/>
  <c r="Q28" i="80" s="1"/>
  <c r="H31" i="80"/>
  <c r="I30" i="80"/>
  <c r="O28" i="80"/>
  <c r="R28" i="80" s="1"/>
  <c r="M28" i="80"/>
  <c r="P28" i="80" s="1"/>
  <c r="L29" i="79"/>
  <c r="K29" i="79"/>
  <c r="J29" i="79"/>
  <c r="O28" i="79"/>
  <c r="R28" i="79" s="1"/>
  <c r="N28" i="79"/>
  <c r="Q28" i="79" s="1"/>
  <c r="H31" i="79"/>
  <c r="I30" i="79"/>
  <c r="M28" i="79"/>
  <c r="P28" i="79" s="1"/>
  <c r="S28" i="79" s="1"/>
  <c r="V10" i="1"/>
  <c r="T10" i="1"/>
  <c r="G44" i="70"/>
  <c r="U9" i="1"/>
  <c r="A11" i="1"/>
  <c r="S10" i="1"/>
  <c r="G11" i="70"/>
  <c r="G18" i="70" s="1"/>
  <c r="G20" i="70" s="1"/>
  <c r="G46" i="70" s="1"/>
  <c r="G47" i="70" s="1"/>
  <c r="L11" i="1" l="1"/>
  <c r="N11" i="1"/>
  <c r="S28" i="80"/>
  <c r="J30" i="80"/>
  <c r="L30" i="80"/>
  <c r="K30" i="80"/>
  <c r="N29" i="80"/>
  <c r="Q29" i="80" s="1"/>
  <c r="H32" i="80"/>
  <c r="I31" i="80"/>
  <c r="M29" i="80"/>
  <c r="P29" i="80" s="1"/>
  <c r="O29" i="80"/>
  <c r="R29" i="80"/>
  <c r="I31" i="79"/>
  <c r="H32" i="79"/>
  <c r="N29" i="79"/>
  <c r="Q29" i="79" s="1"/>
  <c r="O29" i="79"/>
  <c r="R29" i="79" s="1"/>
  <c r="L30" i="79"/>
  <c r="K30" i="79"/>
  <c r="J30" i="79"/>
  <c r="M29" i="79"/>
  <c r="P29" i="79" s="1"/>
  <c r="V11" i="1"/>
  <c r="T11" i="1"/>
  <c r="W10" i="1"/>
  <c r="U10" i="1"/>
  <c r="A12" i="1"/>
  <c r="S11" i="1"/>
  <c r="I43" i="69"/>
  <c r="L43" i="69" s="1"/>
  <c r="O43" i="69" s="1"/>
  <c r="I42" i="69"/>
  <c r="L42" i="69" s="1"/>
  <c r="I41" i="69"/>
  <c r="L41" i="69" s="1"/>
  <c r="I40" i="69"/>
  <c r="L40" i="69" s="1"/>
  <c r="I39" i="69"/>
  <c r="L39" i="69" s="1"/>
  <c r="O39" i="69" s="1"/>
  <c r="I38" i="69"/>
  <c r="L38" i="69" s="1"/>
  <c r="I37" i="69"/>
  <c r="L37" i="69" s="1"/>
  <c r="C19" i="69"/>
  <c r="I36" i="69"/>
  <c r="L36" i="69" s="1"/>
  <c r="C18" i="69"/>
  <c r="I35" i="69"/>
  <c r="L35" i="69" s="1"/>
  <c r="O35" i="69" s="1"/>
  <c r="C17" i="69"/>
  <c r="J7" i="69" s="1"/>
  <c r="I34" i="69"/>
  <c r="L34" i="69" s="1"/>
  <c r="C16" i="69"/>
  <c r="I33" i="69"/>
  <c r="L33" i="69" s="1"/>
  <c r="I32" i="69"/>
  <c r="L32" i="69" s="1"/>
  <c r="I31" i="69"/>
  <c r="L31" i="69" s="1"/>
  <c r="O31" i="69" s="1"/>
  <c r="I30" i="69"/>
  <c r="L30" i="69" s="1"/>
  <c r="I29" i="69"/>
  <c r="L29" i="69" s="1"/>
  <c r="I28" i="69"/>
  <c r="L28" i="69" s="1"/>
  <c r="I27" i="69"/>
  <c r="L27" i="69" s="1"/>
  <c r="O27" i="69" s="1"/>
  <c r="I26" i="69"/>
  <c r="L26" i="69" s="1"/>
  <c r="I25" i="69"/>
  <c r="L25" i="69" s="1"/>
  <c r="I24" i="69"/>
  <c r="L24" i="69" s="1"/>
  <c r="I23" i="69"/>
  <c r="L23" i="69" s="1"/>
  <c r="O23" i="69" s="1"/>
  <c r="S22" i="69"/>
  <c r="I22" i="69"/>
  <c r="L22" i="69" s="1"/>
  <c r="O22" i="69" s="1"/>
  <c r="I21" i="69"/>
  <c r="L21" i="69" s="1"/>
  <c r="O21" i="69" s="1"/>
  <c r="I20" i="69"/>
  <c r="L20" i="69" s="1"/>
  <c r="O20" i="69" s="1"/>
  <c r="I19" i="69"/>
  <c r="L19" i="69" s="1"/>
  <c r="O19" i="69" s="1"/>
  <c r="S18" i="69"/>
  <c r="I18" i="69"/>
  <c r="L18" i="69" s="1"/>
  <c r="O18" i="69" s="1"/>
  <c r="I17" i="69"/>
  <c r="L17" i="69" s="1"/>
  <c r="O17" i="69" s="1"/>
  <c r="I16" i="69"/>
  <c r="L16" i="69" s="1"/>
  <c r="O16" i="69" s="1"/>
  <c r="I15" i="69"/>
  <c r="L15" i="69" s="1"/>
  <c r="O15" i="69" s="1"/>
  <c r="I14" i="69"/>
  <c r="L14" i="69" s="1"/>
  <c r="O14" i="69" s="1"/>
  <c r="I13" i="69"/>
  <c r="L13" i="69" s="1"/>
  <c r="O13" i="69" s="1"/>
  <c r="S12" i="69"/>
  <c r="I12" i="69"/>
  <c r="L12" i="69" s="1"/>
  <c r="O12" i="69" s="1"/>
  <c r="I11" i="69"/>
  <c r="L11" i="69" s="1"/>
  <c r="O11" i="69" s="1"/>
  <c r="I10" i="69"/>
  <c r="L10" i="69" s="1"/>
  <c r="O10" i="69" s="1"/>
  <c r="I9" i="69"/>
  <c r="L9" i="69" s="1"/>
  <c r="O9" i="69" s="1"/>
  <c r="I8" i="69"/>
  <c r="L8" i="69" s="1"/>
  <c r="O8" i="69" s="1"/>
  <c r="S7" i="69"/>
  <c r="O7" i="69"/>
  <c r="K7" i="69"/>
  <c r="I43" i="64"/>
  <c r="L43" i="64" s="1"/>
  <c r="O43" i="64" s="1"/>
  <c r="I42" i="64"/>
  <c r="L42" i="64" s="1"/>
  <c r="I41" i="64"/>
  <c r="L41" i="64" s="1"/>
  <c r="O41" i="64" s="1"/>
  <c r="I40" i="64"/>
  <c r="L40" i="64" s="1"/>
  <c r="O40" i="64" s="1"/>
  <c r="R40" i="64" s="1"/>
  <c r="I39" i="64"/>
  <c r="L39" i="64" s="1"/>
  <c r="O39" i="64" s="1"/>
  <c r="R39" i="64" s="1"/>
  <c r="I38" i="64"/>
  <c r="L38" i="64" s="1"/>
  <c r="I37" i="64"/>
  <c r="L37" i="64" s="1"/>
  <c r="O37" i="64" s="1"/>
  <c r="C19" i="64"/>
  <c r="I36" i="64"/>
  <c r="L36" i="64" s="1"/>
  <c r="O36" i="64" s="1"/>
  <c r="C18" i="64"/>
  <c r="K7" i="64" s="1"/>
  <c r="I35" i="64"/>
  <c r="L35" i="64" s="1"/>
  <c r="C17" i="64"/>
  <c r="I34" i="64"/>
  <c r="L34" i="64" s="1"/>
  <c r="O34" i="64" s="1"/>
  <c r="C16" i="64"/>
  <c r="I33" i="64"/>
  <c r="L33" i="64" s="1"/>
  <c r="O33" i="64" s="1"/>
  <c r="I32" i="64"/>
  <c r="L32" i="64" s="1"/>
  <c r="O32" i="64" s="1"/>
  <c r="R32" i="64" s="1"/>
  <c r="I31" i="64"/>
  <c r="L31" i="64" s="1"/>
  <c r="O31" i="64" s="1"/>
  <c r="I30" i="64"/>
  <c r="L30" i="64" s="1"/>
  <c r="I29" i="64"/>
  <c r="L29" i="64" s="1"/>
  <c r="O29" i="64" s="1"/>
  <c r="I28" i="64"/>
  <c r="L28" i="64" s="1"/>
  <c r="O28" i="64" s="1"/>
  <c r="I27" i="64"/>
  <c r="L27" i="64" s="1"/>
  <c r="O27" i="64" s="1"/>
  <c r="I26" i="64"/>
  <c r="L26" i="64" s="1"/>
  <c r="O26" i="64" s="1"/>
  <c r="R26" i="64" s="1"/>
  <c r="I25" i="64"/>
  <c r="L25" i="64" s="1"/>
  <c r="O25" i="64" s="1"/>
  <c r="I24" i="64"/>
  <c r="L24" i="64" s="1"/>
  <c r="I23" i="64"/>
  <c r="L23" i="64" s="1"/>
  <c r="O23" i="64" s="1"/>
  <c r="I22" i="64"/>
  <c r="L22" i="64" s="1"/>
  <c r="O22" i="64" s="1"/>
  <c r="I21" i="64"/>
  <c r="L21" i="64" s="1"/>
  <c r="O21" i="64" s="1"/>
  <c r="I20" i="64"/>
  <c r="L20" i="64" s="1"/>
  <c r="O20" i="64" s="1"/>
  <c r="I19" i="64"/>
  <c r="L19" i="64" s="1"/>
  <c r="O19" i="64" s="1"/>
  <c r="I18" i="64"/>
  <c r="L18" i="64" s="1"/>
  <c r="O18" i="64" s="1"/>
  <c r="I17" i="64"/>
  <c r="L17" i="64" s="1"/>
  <c r="O17" i="64" s="1"/>
  <c r="I16" i="64"/>
  <c r="L16" i="64" s="1"/>
  <c r="O16" i="64" s="1"/>
  <c r="I15" i="64"/>
  <c r="L15" i="64" s="1"/>
  <c r="O15" i="64" s="1"/>
  <c r="I14" i="64"/>
  <c r="L14" i="64" s="1"/>
  <c r="O14" i="64" s="1"/>
  <c r="I13" i="64"/>
  <c r="L13" i="64" s="1"/>
  <c r="O13" i="64" s="1"/>
  <c r="I12" i="64"/>
  <c r="L12" i="64" s="1"/>
  <c r="O12" i="64" s="1"/>
  <c r="I11" i="64"/>
  <c r="L11" i="64" s="1"/>
  <c r="O11" i="64" s="1"/>
  <c r="I10" i="64"/>
  <c r="L10" i="64" s="1"/>
  <c r="O10" i="64" s="1"/>
  <c r="I9" i="64"/>
  <c r="L9" i="64" s="1"/>
  <c r="O9" i="64" s="1"/>
  <c r="I8" i="64"/>
  <c r="L8" i="64" s="1"/>
  <c r="O8" i="64" s="1"/>
  <c r="O7" i="64"/>
  <c r="J7" i="64"/>
  <c r="J40" i="64" s="1"/>
  <c r="I43" i="63"/>
  <c r="L43" i="63" s="1"/>
  <c r="I42" i="63"/>
  <c r="L42" i="63" s="1"/>
  <c r="O42" i="63" s="1"/>
  <c r="I41" i="63"/>
  <c r="L41" i="63" s="1"/>
  <c r="O41" i="63" s="1"/>
  <c r="I40" i="63"/>
  <c r="L40" i="63" s="1"/>
  <c r="I39" i="63"/>
  <c r="L39" i="63" s="1"/>
  <c r="I38" i="63"/>
  <c r="L38" i="63" s="1"/>
  <c r="I37" i="63"/>
  <c r="L37" i="63" s="1"/>
  <c r="O37" i="63" s="1"/>
  <c r="R37" i="63" s="1"/>
  <c r="I36" i="63"/>
  <c r="L36" i="63" s="1"/>
  <c r="O36" i="63" s="1"/>
  <c r="R36" i="63" s="1"/>
  <c r="C18" i="63"/>
  <c r="K7" i="63" s="1"/>
  <c r="I35" i="63"/>
  <c r="L35" i="63" s="1"/>
  <c r="O35" i="63" s="1"/>
  <c r="R35" i="63" s="1"/>
  <c r="C17" i="63"/>
  <c r="J7" i="63" s="1"/>
  <c r="I34" i="63"/>
  <c r="L34" i="63" s="1"/>
  <c r="O34" i="63" s="1"/>
  <c r="R34" i="63" s="1"/>
  <c r="C16" i="63"/>
  <c r="I33" i="63"/>
  <c r="L33" i="63" s="1"/>
  <c r="O33" i="63" s="1"/>
  <c r="R33" i="63" s="1"/>
  <c r="I32" i="63"/>
  <c r="L32" i="63" s="1"/>
  <c r="O32" i="63" s="1"/>
  <c r="I31" i="63"/>
  <c r="L31" i="63" s="1"/>
  <c r="I30" i="63"/>
  <c r="L30" i="63" s="1"/>
  <c r="O30" i="63" s="1"/>
  <c r="I29" i="63"/>
  <c r="L29" i="63" s="1"/>
  <c r="O29" i="63" s="1"/>
  <c r="R29" i="63" s="1"/>
  <c r="I28" i="63"/>
  <c r="L28" i="63" s="1"/>
  <c r="I27" i="63"/>
  <c r="L27" i="63" s="1"/>
  <c r="I26" i="63"/>
  <c r="L26" i="63" s="1"/>
  <c r="O26" i="63" s="1"/>
  <c r="R26" i="63" s="1"/>
  <c r="I25" i="63"/>
  <c r="L25" i="63" s="1"/>
  <c r="I24" i="63"/>
  <c r="L24" i="63" s="1"/>
  <c r="O24" i="63" s="1"/>
  <c r="I23" i="63"/>
  <c r="L23" i="63" s="1"/>
  <c r="O23" i="63" s="1"/>
  <c r="I22" i="63"/>
  <c r="L22" i="63" s="1"/>
  <c r="I21" i="63"/>
  <c r="L21" i="63" s="1"/>
  <c r="I20" i="63"/>
  <c r="L20" i="63" s="1"/>
  <c r="I19" i="63"/>
  <c r="L19" i="63" s="1"/>
  <c r="I18" i="63"/>
  <c r="L18" i="63" s="1"/>
  <c r="I17" i="63"/>
  <c r="L17" i="63" s="1"/>
  <c r="I16" i="63"/>
  <c r="L16" i="63" s="1"/>
  <c r="O16" i="63" s="1"/>
  <c r="I15" i="63"/>
  <c r="L15" i="63" s="1"/>
  <c r="O15" i="63" s="1"/>
  <c r="I14" i="63"/>
  <c r="L14" i="63" s="1"/>
  <c r="O14" i="63" s="1"/>
  <c r="I13" i="63"/>
  <c r="L13" i="63" s="1"/>
  <c r="O13" i="63" s="1"/>
  <c r="I12" i="63"/>
  <c r="L12" i="63" s="1"/>
  <c r="O12" i="63" s="1"/>
  <c r="I11" i="63"/>
  <c r="L11" i="63" s="1"/>
  <c r="O11" i="63" s="1"/>
  <c r="S9" i="63"/>
  <c r="I10" i="63"/>
  <c r="L10" i="63" s="1"/>
  <c r="O10" i="63" s="1"/>
  <c r="I9" i="63"/>
  <c r="L9" i="63" s="1"/>
  <c r="O9" i="63" s="1"/>
  <c r="I8" i="63"/>
  <c r="L8" i="63" s="1"/>
  <c r="O8" i="63" s="1"/>
  <c r="O7" i="63"/>
  <c r="L5" i="61"/>
  <c r="L6" i="61"/>
  <c r="L7" i="61"/>
  <c r="L8" i="61"/>
  <c r="L9" i="61"/>
  <c r="L10" i="61"/>
  <c r="L11" i="61"/>
  <c r="L12" i="61"/>
  <c r="F8" i="1" s="1"/>
  <c r="L13" i="61"/>
  <c r="L14" i="61"/>
  <c r="L15" i="61"/>
  <c r="F11" i="1" s="1"/>
  <c r="L16" i="61"/>
  <c r="F12" i="1" s="1"/>
  <c r="L4" i="61"/>
  <c r="I43" i="62"/>
  <c r="L43" i="62" s="1"/>
  <c r="O43" i="62" s="1"/>
  <c r="I42" i="62"/>
  <c r="L42" i="62" s="1"/>
  <c r="I41" i="62"/>
  <c r="L41" i="62" s="1"/>
  <c r="O41" i="62" s="1"/>
  <c r="I40" i="62"/>
  <c r="L40" i="62" s="1"/>
  <c r="O40" i="62" s="1"/>
  <c r="R40" i="62" s="1"/>
  <c r="I39" i="62"/>
  <c r="L39" i="62" s="1"/>
  <c r="O39" i="62" s="1"/>
  <c r="I38" i="62"/>
  <c r="L38" i="62" s="1"/>
  <c r="I37" i="62"/>
  <c r="L37" i="62" s="1"/>
  <c r="O37" i="62" s="1"/>
  <c r="C19" i="62"/>
  <c r="I36" i="62"/>
  <c r="L36" i="62" s="1"/>
  <c r="C18" i="62"/>
  <c r="I35" i="62"/>
  <c r="L35" i="62" s="1"/>
  <c r="C17" i="62"/>
  <c r="J7" i="62" s="1"/>
  <c r="I34" i="62"/>
  <c r="L34" i="62" s="1"/>
  <c r="O34" i="62" s="1"/>
  <c r="C16" i="62"/>
  <c r="I33" i="62"/>
  <c r="L33" i="62" s="1"/>
  <c r="I32" i="62"/>
  <c r="L32" i="62" s="1"/>
  <c r="I31" i="62"/>
  <c r="L31" i="62" s="1"/>
  <c r="O31" i="62" s="1"/>
  <c r="I30" i="62"/>
  <c r="L30" i="62" s="1"/>
  <c r="I29" i="62"/>
  <c r="L29" i="62" s="1"/>
  <c r="O29" i="62" s="1"/>
  <c r="I28" i="62"/>
  <c r="L28" i="62" s="1"/>
  <c r="I27" i="62"/>
  <c r="L27" i="62" s="1"/>
  <c r="O27" i="62" s="1"/>
  <c r="I26" i="62"/>
  <c r="L26" i="62" s="1"/>
  <c r="O26" i="62" s="1"/>
  <c r="R26" i="62" s="1"/>
  <c r="I25" i="62"/>
  <c r="L25" i="62" s="1"/>
  <c r="O25" i="62" s="1"/>
  <c r="I24" i="62"/>
  <c r="L24" i="62" s="1"/>
  <c r="I23" i="62"/>
  <c r="L23" i="62" s="1"/>
  <c r="I22" i="62"/>
  <c r="L22" i="62" s="1"/>
  <c r="O22" i="62" s="1"/>
  <c r="I21" i="62"/>
  <c r="L21" i="62" s="1"/>
  <c r="O21" i="62" s="1"/>
  <c r="I20" i="62"/>
  <c r="L20" i="62" s="1"/>
  <c r="O20" i="62" s="1"/>
  <c r="I19" i="62"/>
  <c r="L19" i="62" s="1"/>
  <c r="O19" i="62" s="1"/>
  <c r="I18" i="62"/>
  <c r="L18" i="62" s="1"/>
  <c r="O18" i="62" s="1"/>
  <c r="I17" i="62"/>
  <c r="L17" i="62" s="1"/>
  <c r="O17" i="62" s="1"/>
  <c r="I16" i="62"/>
  <c r="L16" i="62" s="1"/>
  <c r="O16" i="62" s="1"/>
  <c r="I15" i="62"/>
  <c r="L15" i="62" s="1"/>
  <c r="O15" i="62" s="1"/>
  <c r="I14" i="62"/>
  <c r="L14" i="62" s="1"/>
  <c r="O14" i="62" s="1"/>
  <c r="I13" i="62"/>
  <c r="L13" i="62" s="1"/>
  <c r="O13" i="62" s="1"/>
  <c r="I12" i="62"/>
  <c r="L12" i="62" s="1"/>
  <c r="O12" i="62" s="1"/>
  <c r="I11" i="62"/>
  <c r="L11" i="62" s="1"/>
  <c r="O11" i="62" s="1"/>
  <c r="I10" i="62"/>
  <c r="L10" i="62" s="1"/>
  <c r="O10" i="62" s="1"/>
  <c r="I9" i="62"/>
  <c r="L9" i="62" s="1"/>
  <c r="O9" i="62" s="1"/>
  <c r="I8" i="62"/>
  <c r="L8" i="62" s="1"/>
  <c r="O8" i="62" s="1"/>
  <c r="O7" i="62"/>
  <c r="K7" i="62"/>
  <c r="O7" i="12"/>
  <c r="B15" i="61"/>
  <c r="B16" i="61" s="1"/>
  <c r="B17" i="61" s="1"/>
  <c r="B18" i="61" s="1"/>
  <c r="B19" i="61" s="1"/>
  <c r="B20" i="61" s="1"/>
  <c r="B21" i="61" s="1"/>
  <c r="B22" i="61" s="1"/>
  <c r="B23" i="61" s="1"/>
  <c r="B24" i="61" s="1"/>
  <c r="A7" i="61"/>
  <c r="A8" i="61" s="1"/>
  <c r="A9" i="61" s="1"/>
  <c r="A10" i="61" s="1"/>
  <c r="K8" i="1" l="1"/>
  <c r="L12" i="1"/>
  <c r="N12" i="1"/>
  <c r="L31" i="80"/>
  <c r="K31" i="80"/>
  <c r="J31" i="80"/>
  <c r="H33" i="80"/>
  <c r="I32" i="80"/>
  <c r="N30" i="80"/>
  <c r="Q30" i="80"/>
  <c r="S29" i="80"/>
  <c r="O30" i="80"/>
  <c r="R30" i="80" s="1"/>
  <c r="M30" i="80"/>
  <c r="P30" i="80" s="1"/>
  <c r="N30" i="79"/>
  <c r="Q30" i="79" s="1"/>
  <c r="O30" i="79"/>
  <c r="R30" i="79" s="1"/>
  <c r="S29" i="79"/>
  <c r="H33" i="79"/>
  <c r="I32" i="79"/>
  <c r="M30" i="79"/>
  <c r="P30" i="79" s="1"/>
  <c r="L31" i="79"/>
  <c r="K31" i="79"/>
  <c r="J31" i="79"/>
  <c r="O18" i="63"/>
  <c r="R18" i="63" s="1"/>
  <c r="S18" i="63" s="1"/>
  <c r="E18" i="61" s="1"/>
  <c r="O19" i="63"/>
  <c r="R19" i="63"/>
  <c r="O17" i="63"/>
  <c r="R17" i="63"/>
  <c r="O20" i="63"/>
  <c r="R20" i="63" s="1"/>
  <c r="S20" i="63" s="1"/>
  <c r="E20" i="61" s="1"/>
  <c r="O21" i="63"/>
  <c r="R21" i="63" s="1"/>
  <c r="S21" i="63" s="1"/>
  <c r="E21" i="61" s="1"/>
  <c r="O22" i="63"/>
  <c r="R22" i="63"/>
  <c r="K12" i="1"/>
  <c r="F10" i="1"/>
  <c r="K11" i="1"/>
  <c r="F9" i="1"/>
  <c r="K9" i="1"/>
  <c r="F7" i="1"/>
  <c r="K7" i="1" s="1"/>
  <c r="O7" i="1" s="1"/>
  <c r="Y7" i="1" s="1"/>
  <c r="K40" i="64"/>
  <c r="V12" i="1"/>
  <c r="T12" i="1"/>
  <c r="K29" i="69"/>
  <c r="W11" i="1"/>
  <c r="K10" i="1"/>
  <c r="O10" i="1" s="1"/>
  <c r="Y10" i="1" s="1"/>
  <c r="U11" i="1"/>
  <c r="O11" i="1"/>
  <c r="O9" i="1"/>
  <c r="Y9" i="1" s="1"/>
  <c r="M9" i="1"/>
  <c r="X9" i="1" s="1"/>
  <c r="M8" i="1"/>
  <c r="X8" i="1" s="1"/>
  <c r="O8" i="1"/>
  <c r="Y8" i="1" s="1"/>
  <c r="M11" i="1"/>
  <c r="A13" i="1"/>
  <c r="K43" i="63"/>
  <c r="K12" i="69"/>
  <c r="N12" i="69" s="1"/>
  <c r="K13" i="63"/>
  <c r="N13" i="63" s="1"/>
  <c r="K16" i="63"/>
  <c r="N16" i="63" s="1"/>
  <c r="N7" i="63"/>
  <c r="K21" i="62"/>
  <c r="N21" i="62" s="1"/>
  <c r="O32" i="62"/>
  <c r="R32" i="62" s="1"/>
  <c r="K12" i="63"/>
  <c r="N12" i="63" s="1"/>
  <c r="K27" i="63"/>
  <c r="N27" i="63" s="1"/>
  <c r="K18" i="63"/>
  <c r="N18" i="63" s="1"/>
  <c r="K21" i="63"/>
  <c r="N21" i="63" s="1"/>
  <c r="K24" i="63"/>
  <c r="N24" i="63" s="1"/>
  <c r="Q24" i="63" s="1"/>
  <c r="R25" i="64"/>
  <c r="M7" i="64"/>
  <c r="J9" i="64"/>
  <c r="M9" i="64" s="1"/>
  <c r="J26" i="64"/>
  <c r="M26" i="64" s="1"/>
  <c r="K14" i="69"/>
  <c r="N14" i="69" s="1"/>
  <c r="J9" i="69"/>
  <c r="M9" i="69" s="1"/>
  <c r="S12" i="1"/>
  <c r="R42" i="63"/>
  <c r="K17" i="69"/>
  <c r="N17" i="69" s="1"/>
  <c r="K8" i="69"/>
  <c r="N8" i="69" s="1"/>
  <c r="K21" i="69"/>
  <c r="N21" i="69" s="1"/>
  <c r="K26" i="69"/>
  <c r="N26" i="69" s="1"/>
  <c r="Q26" i="69" s="1"/>
  <c r="N29" i="69"/>
  <c r="Q29" i="69" s="1"/>
  <c r="O38" i="69"/>
  <c r="R38" i="69" s="1"/>
  <c r="S9" i="69"/>
  <c r="S21" i="69"/>
  <c r="S17" i="69"/>
  <c r="G17" i="61" s="1"/>
  <c r="S10" i="69"/>
  <c r="S8" i="69"/>
  <c r="S20" i="69"/>
  <c r="S16" i="69"/>
  <c r="S13" i="69"/>
  <c r="S11" i="69"/>
  <c r="S19" i="69"/>
  <c r="S15" i="69"/>
  <c r="S14" i="69"/>
  <c r="O25" i="69"/>
  <c r="R25" i="69" s="1"/>
  <c r="O42" i="69"/>
  <c r="R42" i="69" s="1"/>
  <c r="O24" i="69"/>
  <c r="R24" i="69" s="1"/>
  <c r="O30" i="69"/>
  <c r="R30" i="69" s="1"/>
  <c r="O32" i="69"/>
  <c r="R32" i="69" s="1"/>
  <c r="K42" i="69"/>
  <c r="K38" i="69"/>
  <c r="K30" i="69"/>
  <c r="K24" i="69"/>
  <c r="K10" i="69"/>
  <c r="N10" i="69" s="1"/>
  <c r="K43" i="69"/>
  <c r="K39" i="69"/>
  <c r="K31" i="69"/>
  <c r="K25" i="69"/>
  <c r="K34" i="69"/>
  <c r="K20" i="69"/>
  <c r="N20" i="69" s="1"/>
  <c r="K16" i="69"/>
  <c r="N16" i="69" s="1"/>
  <c r="K9" i="69"/>
  <c r="N9" i="69" s="1"/>
  <c r="K40" i="69"/>
  <c r="K35" i="69"/>
  <c r="K32" i="69"/>
  <c r="K27" i="69"/>
  <c r="K23" i="69"/>
  <c r="K19" i="69"/>
  <c r="N19" i="69" s="1"/>
  <c r="K15" i="69"/>
  <c r="N15" i="69" s="1"/>
  <c r="K13" i="69"/>
  <c r="N13" i="69" s="1"/>
  <c r="K11" i="69"/>
  <c r="N11" i="69" s="1"/>
  <c r="N7" i="69"/>
  <c r="K36" i="69"/>
  <c r="K28" i="69"/>
  <c r="K22" i="69"/>
  <c r="N22" i="69" s="1"/>
  <c r="K18" i="69"/>
  <c r="N18" i="69" s="1"/>
  <c r="K41" i="69"/>
  <c r="K37" i="69"/>
  <c r="K33" i="69"/>
  <c r="J41" i="69"/>
  <c r="J37" i="69"/>
  <c r="J36" i="69"/>
  <c r="J35" i="69"/>
  <c r="J34" i="69"/>
  <c r="J33" i="69"/>
  <c r="J29" i="69"/>
  <c r="J28" i="69"/>
  <c r="J27" i="69"/>
  <c r="J23" i="69"/>
  <c r="J22" i="69"/>
  <c r="M22" i="69" s="1"/>
  <c r="J21" i="69"/>
  <c r="M21" i="69" s="1"/>
  <c r="J20" i="69"/>
  <c r="M20" i="69" s="1"/>
  <c r="J19" i="69"/>
  <c r="M19" i="69" s="1"/>
  <c r="J18" i="69"/>
  <c r="M18" i="69" s="1"/>
  <c r="J17" i="69"/>
  <c r="M17" i="69" s="1"/>
  <c r="J16" i="69"/>
  <c r="M16" i="69" s="1"/>
  <c r="J15" i="69"/>
  <c r="M15" i="69" s="1"/>
  <c r="J14" i="69"/>
  <c r="M14" i="69" s="1"/>
  <c r="J13" i="69"/>
  <c r="M13" i="69" s="1"/>
  <c r="J12" i="69"/>
  <c r="M12" i="69" s="1"/>
  <c r="J11" i="69"/>
  <c r="M11" i="69" s="1"/>
  <c r="J42" i="69"/>
  <c r="J38" i="69"/>
  <c r="J30" i="69"/>
  <c r="J24" i="69"/>
  <c r="J43" i="69"/>
  <c r="J39" i="69"/>
  <c r="J31" i="69"/>
  <c r="J26" i="69"/>
  <c r="J10" i="69"/>
  <c r="M10" i="69" s="1"/>
  <c r="J8" i="69"/>
  <c r="M8" i="69" s="1"/>
  <c r="J40" i="69"/>
  <c r="J32" i="69"/>
  <c r="J25" i="69"/>
  <c r="M7" i="69"/>
  <c r="O40" i="69"/>
  <c r="R40" i="69" s="1"/>
  <c r="O34" i="69"/>
  <c r="R34" i="69" s="1"/>
  <c r="O26" i="69"/>
  <c r="R26" i="69" s="1"/>
  <c r="O29" i="69"/>
  <c r="R29" i="69" s="1"/>
  <c r="O33" i="69"/>
  <c r="R33" i="69" s="1"/>
  <c r="O37" i="69"/>
  <c r="R37" i="69" s="1"/>
  <c r="O41" i="69"/>
  <c r="R41" i="69" s="1"/>
  <c r="R23" i="69"/>
  <c r="R27" i="69"/>
  <c r="O28" i="69"/>
  <c r="R28" i="69" s="1"/>
  <c r="R31" i="69"/>
  <c r="R35" i="69"/>
  <c r="O36" i="69"/>
  <c r="R36" i="69" s="1"/>
  <c r="R39" i="69"/>
  <c r="R43" i="69"/>
  <c r="K21" i="64"/>
  <c r="N21" i="64" s="1"/>
  <c r="K27" i="64"/>
  <c r="K36" i="64"/>
  <c r="N36" i="64" s="1"/>
  <c r="Q36" i="64" s="1"/>
  <c r="N7" i="64"/>
  <c r="K11" i="64"/>
  <c r="N11" i="64" s="1"/>
  <c r="K13" i="64"/>
  <c r="N13" i="64" s="1"/>
  <c r="K15" i="64"/>
  <c r="N15" i="64" s="1"/>
  <c r="K17" i="64"/>
  <c r="N17" i="64" s="1"/>
  <c r="K19" i="64"/>
  <c r="N19" i="64" s="1"/>
  <c r="K32" i="64"/>
  <c r="N32" i="64" s="1"/>
  <c r="K41" i="64"/>
  <c r="O24" i="64"/>
  <c r="R24" i="64" s="1"/>
  <c r="N40" i="64"/>
  <c r="Q40" i="64" s="1"/>
  <c r="O38" i="64"/>
  <c r="R38" i="64" s="1"/>
  <c r="S9" i="64"/>
  <c r="S8" i="64"/>
  <c r="S21" i="64"/>
  <c r="S19" i="64"/>
  <c r="S15" i="64"/>
  <c r="S13" i="64"/>
  <c r="S20" i="64"/>
  <c r="S18" i="64"/>
  <c r="S16" i="64"/>
  <c r="S14" i="64"/>
  <c r="S12" i="64"/>
  <c r="S7" i="64"/>
  <c r="S22" i="64"/>
  <c r="S10" i="64"/>
  <c r="S17" i="64"/>
  <c r="F17" i="61" s="1"/>
  <c r="S11" i="64"/>
  <c r="J41" i="64"/>
  <c r="J37" i="64"/>
  <c r="J36" i="64"/>
  <c r="J35" i="64"/>
  <c r="J34" i="64"/>
  <c r="J33" i="64"/>
  <c r="J29" i="64"/>
  <c r="J28" i="64"/>
  <c r="J27" i="64"/>
  <c r="J23" i="64"/>
  <c r="J22" i="64"/>
  <c r="M22" i="64" s="1"/>
  <c r="J21" i="64"/>
  <c r="M21" i="64" s="1"/>
  <c r="J20" i="64"/>
  <c r="M20" i="64" s="1"/>
  <c r="J19" i="64"/>
  <c r="M19" i="64" s="1"/>
  <c r="J18" i="64"/>
  <c r="M18" i="64" s="1"/>
  <c r="J17" i="64"/>
  <c r="M17" i="64" s="1"/>
  <c r="J16" i="64"/>
  <c r="M16" i="64" s="1"/>
  <c r="J15" i="64"/>
  <c r="M15" i="64" s="1"/>
  <c r="J14" i="64"/>
  <c r="M14" i="64" s="1"/>
  <c r="J13" i="64"/>
  <c r="M13" i="64" s="1"/>
  <c r="J12" i="64"/>
  <c r="M12" i="64" s="1"/>
  <c r="J11" i="64"/>
  <c r="M11" i="64" s="1"/>
  <c r="J42" i="64"/>
  <c r="J38" i="64"/>
  <c r="J30" i="64"/>
  <c r="J24" i="64"/>
  <c r="J8" i="64"/>
  <c r="M8" i="64" s="1"/>
  <c r="J10" i="64"/>
  <c r="M10" i="64" s="1"/>
  <c r="K26" i="64"/>
  <c r="R27" i="64"/>
  <c r="J31" i="64"/>
  <c r="R31" i="64"/>
  <c r="K35" i="64"/>
  <c r="R36" i="64"/>
  <c r="R41" i="64"/>
  <c r="R23" i="64"/>
  <c r="R28" i="64"/>
  <c r="O30" i="64"/>
  <c r="R30" i="64" s="1"/>
  <c r="R33" i="64"/>
  <c r="R37" i="64"/>
  <c r="N41" i="64"/>
  <c r="K42" i="64"/>
  <c r="K38" i="64"/>
  <c r="K30" i="64"/>
  <c r="K24" i="64"/>
  <c r="K10" i="64"/>
  <c r="N10" i="64" s="1"/>
  <c r="K43" i="64"/>
  <c r="K39" i="64"/>
  <c r="K31" i="64"/>
  <c r="K25" i="64"/>
  <c r="K8" i="64"/>
  <c r="N8" i="64" s="1"/>
  <c r="K12" i="64"/>
  <c r="N12" i="64" s="1"/>
  <c r="K14" i="64"/>
  <c r="N14" i="64" s="1"/>
  <c r="K16" i="64"/>
  <c r="N16" i="64" s="1"/>
  <c r="K18" i="64"/>
  <c r="N18" i="64" s="1"/>
  <c r="K20" i="64"/>
  <c r="N20" i="64" s="1"/>
  <c r="K22" i="64"/>
  <c r="N22" i="64" s="1"/>
  <c r="J25" i="64"/>
  <c r="K29" i="64"/>
  <c r="K34" i="64"/>
  <c r="J39" i="64"/>
  <c r="O42" i="64"/>
  <c r="R42" i="64" s="1"/>
  <c r="N27" i="64"/>
  <c r="Q27" i="64" s="1"/>
  <c r="Q32" i="64"/>
  <c r="M40" i="64"/>
  <c r="P40" i="64" s="1"/>
  <c r="K9" i="64"/>
  <c r="N9" i="64" s="1"/>
  <c r="K23" i="64"/>
  <c r="K28" i="64"/>
  <c r="R29" i="64"/>
  <c r="J32" i="64"/>
  <c r="K33" i="64"/>
  <c r="R34" i="64"/>
  <c r="O35" i="64"/>
  <c r="R35" i="64" s="1"/>
  <c r="K37" i="64"/>
  <c r="J43" i="64"/>
  <c r="R43" i="64"/>
  <c r="K30" i="63"/>
  <c r="N30" i="63" s="1"/>
  <c r="Q30" i="63" s="1"/>
  <c r="K34" i="63"/>
  <c r="N34" i="63" s="1"/>
  <c r="Q34" i="63" s="1"/>
  <c r="K41" i="63"/>
  <c r="K15" i="63"/>
  <c r="N15" i="63" s="1"/>
  <c r="K23" i="63"/>
  <c r="N23" i="63" s="1"/>
  <c r="K33" i="63"/>
  <c r="N33" i="63" s="1"/>
  <c r="Q33" i="63" s="1"/>
  <c r="K37" i="63"/>
  <c r="N37" i="63" s="1"/>
  <c r="Q37" i="63" s="1"/>
  <c r="K14" i="63"/>
  <c r="N14" i="63" s="1"/>
  <c r="K17" i="63"/>
  <c r="N17" i="63" s="1"/>
  <c r="K20" i="63"/>
  <c r="N20" i="63" s="1"/>
  <c r="K22" i="63"/>
  <c r="N22" i="63" s="1"/>
  <c r="K29" i="63"/>
  <c r="K36" i="63"/>
  <c r="N36" i="63" s="1"/>
  <c r="K9" i="63"/>
  <c r="N9" i="63" s="1"/>
  <c r="K10" i="63"/>
  <c r="N10" i="63" s="1"/>
  <c r="K11" i="63"/>
  <c r="N11" i="63" s="1"/>
  <c r="K19" i="63"/>
  <c r="N19" i="63" s="1"/>
  <c r="K25" i="63"/>
  <c r="N25" i="63" s="1"/>
  <c r="K28" i="63"/>
  <c r="N28" i="63" s="1"/>
  <c r="K35" i="63"/>
  <c r="N35" i="63" s="1"/>
  <c r="Q35" i="63" s="1"/>
  <c r="K38" i="63"/>
  <c r="N38" i="63" s="1"/>
  <c r="Q38" i="63" s="1"/>
  <c r="K42" i="63"/>
  <c r="N42" i="63" s="1"/>
  <c r="Q42" i="63" s="1"/>
  <c r="O31" i="63"/>
  <c r="R31" i="63" s="1"/>
  <c r="O39" i="63"/>
  <c r="R39" i="63" s="1"/>
  <c r="J42" i="63"/>
  <c r="J38" i="63"/>
  <c r="J30" i="63"/>
  <c r="J24" i="63"/>
  <c r="J10" i="63"/>
  <c r="M10" i="63" s="1"/>
  <c r="M7" i="63"/>
  <c r="J43" i="63"/>
  <c r="J39" i="63"/>
  <c r="J31" i="63"/>
  <c r="J25" i="63"/>
  <c r="J9" i="63"/>
  <c r="M9" i="63" s="1"/>
  <c r="J21" i="63"/>
  <c r="M21" i="63" s="1"/>
  <c r="J26" i="63"/>
  <c r="O28" i="63"/>
  <c r="R28" i="63" s="1"/>
  <c r="J35" i="63"/>
  <c r="J36" i="63"/>
  <c r="J37" i="63"/>
  <c r="O27" i="63"/>
  <c r="R27" i="63" s="1"/>
  <c r="J28" i="63"/>
  <c r="O38" i="63"/>
  <c r="R38" i="63" s="1"/>
  <c r="O40" i="63"/>
  <c r="R40" i="63" s="1"/>
  <c r="O43" i="63"/>
  <c r="R43" i="63" s="1"/>
  <c r="J8" i="63"/>
  <c r="M8" i="63" s="1"/>
  <c r="J11" i="63"/>
  <c r="M11" i="63" s="1"/>
  <c r="J15" i="63"/>
  <c r="M15" i="63" s="1"/>
  <c r="J19" i="63"/>
  <c r="M19" i="63" s="1"/>
  <c r="J23" i="63"/>
  <c r="R23" i="63"/>
  <c r="R24" i="63"/>
  <c r="J27" i="63"/>
  <c r="N29" i="63"/>
  <c r="Q29" i="63" s="1"/>
  <c r="J32" i="63"/>
  <c r="R32" i="63"/>
  <c r="J40" i="63"/>
  <c r="R41" i="63"/>
  <c r="J13" i="63"/>
  <c r="M13" i="63" s="1"/>
  <c r="J17" i="63"/>
  <c r="M17" i="63" s="1"/>
  <c r="J29" i="63"/>
  <c r="R30" i="63"/>
  <c r="J33" i="63"/>
  <c r="J34" i="63"/>
  <c r="N43" i="63"/>
  <c r="Q43" i="63" s="1"/>
  <c r="J14" i="63"/>
  <c r="M14" i="63" s="1"/>
  <c r="J18" i="63"/>
  <c r="M18" i="63" s="1"/>
  <c r="J22" i="63"/>
  <c r="M22" i="63" s="1"/>
  <c r="S8" i="63"/>
  <c r="S22" i="63"/>
  <c r="E22" i="61" s="1"/>
  <c r="S19" i="63"/>
  <c r="E19" i="61" s="1"/>
  <c r="S17" i="63"/>
  <c r="E17" i="61" s="1"/>
  <c r="S16" i="63"/>
  <c r="S15" i="63"/>
  <c r="S14" i="63"/>
  <c r="S13" i="63"/>
  <c r="S12" i="63"/>
  <c r="S11" i="63"/>
  <c r="S7" i="63"/>
  <c r="S10" i="63"/>
  <c r="J12" i="63"/>
  <c r="M12" i="63" s="1"/>
  <c r="J16" i="63"/>
  <c r="M16" i="63" s="1"/>
  <c r="J20" i="63"/>
  <c r="M20" i="63" s="1"/>
  <c r="O25" i="63"/>
  <c r="R25" i="63" s="1"/>
  <c r="J41" i="63"/>
  <c r="K8" i="63"/>
  <c r="N8" i="63" s="1"/>
  <c r="K26" i="63"/>
  <c r="K32" i="63"/>
  <c r="K40" i="63"/>
  <c r="K31" i="63"/>
  <c r="K39" i="63"/>
  <c r="N7" i="62"/>
  <c r="K26" i="62"/>
  <c r="N26" i="62" s="1"/>
  <c r="Q26" i="62" s="1"/>
  <c r="K27" i="62"/>
  <c r="N27" i="62" s="1"/>
  <c r="Q27" i="62" s="1"/>
  <c r="K32" i="62"/>
  <c r="K35" i="62"/>
  <c r="N35" i="62" s="1"/>
  <c r="Q35" i="62" s="1"/>
  <c r="K36" i="62"/>
  <c r="N36" i="62" s="1"/>
  <c r="Q36" i="62" s="1"/>
  <c r="K40" i="62"/>
  <c r="N40" i="62" s="1"/>
  <c r="Q40" i="62" s="1"/>
  <c r="K41" i="62"/>
  <c r="N41" i="62" s="1"/>
  <c r="K11" i="62"/>
  <c r="N11" i="62" s="1"/>
  <c r="K13" i="62"/>
  <c r="N13" i="62" s="1"/>
  <c r="K15" i="62"/>
  <c r="N15" i="62" s="1"/>
  <c r="K17" i="62"/>
  <c r="N17" i="62" s="1"/>
  <c r="K19" i="62"/>
  <c r="N19" i="62" s="1"/>
  <c r="J40" i="62"/>
  <c r="M40" i="62" s="1"/>
  <c r="J26" i="62"/>
  <c r="M26" i="62" s="1"/>
  <c r="P26" i="62" s="1"/>
  <c r="O38" i="62"/>
  <c r="R38" i="62" s="1"/>
  <c r="O42" i="62"/>
  <c r="R42" i="62" s="1"/>
  <c r="S9" i="62"/>
  <c r="S8" i="62"/>
  <c r="S22" i="62"/>
  <c r="S10" i="62"/>
  <c r="S21" i="62"/>
  <c r="S19" i="62"/>
  <c r="S20" i="62"/>
  <c r="S18" i="62"/>
  <c r="S16" i="62"/>
  <c r="S14" i="62"/>
  <c r="S12" i="62"/>
  <c r="S7" i="62"/>
  <c r="S17" i="62"/>
  <c r="D17" i="61" s="1"/>
  <c r="S15" i="62"/>
  <c r="S13" i="62"/>
  <c r="S11" i="62"/>
  <c r="O24" i="62"/>
  <c r="R24" i="62" s="1"/>
  <c r="O30" i="62"/>
  <c r="R30" i="62" s="1"/>
  <c r="J41" i="62"/>
  <c r="J37" i="62"/>
  <c r="J36" i="62"/>
  <c r="J35" i="62"/>
  <c r="J34" i="62"/>
  <c r="J33" i="62"/>
  <c r="J29" i="62"/>
  <c r="J28" i="62"/>
  <c r="J27" i="62"/>
  <c r="J23" i="62"/>
  <c r="J22" i="62"/>
  <c r="M22" i="62" s="1"/>
  <c r="J21" i="62"/>
  <c r="M21" i="62" s="1"/>
  <c r="J20" i="62"/>
  <c r="M20" i="62" s="1"/>
  <c r="J19" i="62"/>
  <c r="M19" i="62" s="1"/>
  <c r="J18" i="62"/>
  <c r="M18" i="62" s="1"/>
  <c r="J17" i="62"/>
  <c r="M17" i="62" s="1"/>
  <c r="J16" i="62"/>
  <c r="M16" i="62" s="1"/>
  <c r="J15" i="62"/>
  <c r="M15" i="62" s="1"/>
  <c r="J14" i="62"/>
  <c r="M14" i="62" s="1"/>
  <c r="J13" i="62"/>
  <c r="M13" i="62" s="1"/>
  <c r="J12" i="62"/>
  <c r="M12" i="62" s="1"/>
  <c r="J11" i="62"/>
  <c r="M11" i="62" s="1"/>
  <c r="J42" i="62"/>
  <c r="J38" i="62"/>
  <c r="J30" i="62"/>
  <c r="J24" i="62"/>
  <c r="J8" i="62"/>
  <c r="M8" i="62" s="1"/>
  <c r="J10" i="62"/>
  <c r="M10" i="62" s="1"/>
  <c r="K42" i="62"/>
  <c r="K38" i="62"/>
  <c r="K30" i="62"/>
  <c r="K24" i="62"/>
  <c r="K10" i="62"/>
  <c r="N10" i="62" s="1"/>
  <c r="K43" i="62"/>
  <c r="K39" i="62"/>
  <c r="K31" i="62"/>
  <c r="K25" i="62"/>
  <c r="K8" i="62"/>
  <c r="N8" i="62" s="1"/>
  <c r="J9" i="62"/>
  <c r="M9" i="62" s="1"/>
  <c r="K12" i="62"/>
  <c r="N12" i="62" s="1"/>
  <c r="K14" i="62"/>
  <c r="N14" i="62" s="1"/>
  <c r="K16" i="62"/>
  <c r="N16" i="62" s="1"/>
  <c r="K18" i="62"/>
  <c r="N18" i="62" s="1"/>
  <c r="K20" i="62"/>
  <c r="N20" i="62" s="1"/>
  <c r="K22" i="62"/>
  <c r="N22" i="62" s="1"/>
  <c r="J25" i="62"/>
  <c r="R25" i="62"/>
  <c r="K29" i="62"/>
  <c r="N32" i="62"/>
  <c r="Q32" i="62" s="1"/>
  <c r="K34" i="62"/>
  <c r="O36" i="62"/>
  <c r="R36" i="62" s="1"/>
  <c r="J39" i="62"/>
  <c r="R39" i="62"/>
  <c r="R37" i="62"/>
  <c r="O23" i="62"/>
  <c r="R23" i="62" s="1"/>
  <c r="R27" i="62"/>
  <c r="O28" i="62"/>
  <c r="R28" i="62" s="1"/>
  <c r="J31" i="62"/>
  <c r="R31" i="62"/>
  <c r="O33" i="62"/>
  <c r="R33" i="62" s="1"/>
  <c r="R41" i="62"/>
  <c r="M7" i="62"/>
  <c r="K9" i="62"/>
  <c r="N9" i="62" s="1"/>
  <c r="K23" i="62"/>
  <c r="K28" i="62"/>
  <c r="R29" i="62"/>
  <c r="J32" i="62"/>
  <c r="K33" i="62"/>
  <c r="R34" i="62"/>
  <c r="O35" i="62"/>
  <c r="R35" i="62" s="1"/>
  <c r="K37" i="62"/>
  <c r="J43" i="62"/>
  <c r="R43" i="62"/>
  <c r="B25" i="61"/>
  <c r="B26" i="61" s="1"/>
  <c r="I23" i="59"/>
  <c r="O18" i="59"/>
  <c r="M18" i="59"/>
  <c r="K18" i="59"/>
  <c r="I18" i="59"/>
  <c r="A11" i="59"/>
  <c r="A12" i="59" s="1"/>
  <c r="A13" i="59" s="1"/>
  <c r="A14" i="59" s="1"/>
  <c r="A15" i="59" s="1"/>
  <c r="A16" i="59" s="1"/>
  <c r="A17" i="59" s="1"/>
  <c r="A18" i="59" s="1"/>
  <c r="A19" i="59" s="1"/>
  <c r="A20" i="59" s="1"/>
  <c r="A21" i="59" s="1"/>
  <c r="A22" i="59" s="1"/>
  <c r="A23" i="59" s="1"/>
  <c r="A24" i="59" s="1"/>
  <c r="A25" i="59" s="1"/>
  <c r="A26" i="59" s="1"/>
  <c r="A27" i="59" s="1"/>
  <c r="A28" i="59" s="1"/>
  <c r="A29" i="59" s="1"/>
  <c r="A30" i="59" s="1"/>
  <c r="A31" i="59" s="1"/>
  <c r="A32" i="59" s="1"/>
  <c r="A33" i="59" s="1"/>
  <c r="A34" i="59" s="1"/>
  <c r="A35" i="59" s="1"/>
  <c r="A36" i="59" s="1"/>
  <c r="A37" i="59" s="1"/>
  <c r="A38" i="59" s="1"/>
  <c r="A39" i="59" s="1"/>
  <c r="A40" i="59" s="1"/>
  <c r="A41" i="59" s="1"/>
  <c r="A42" i="59" s="1"/>
  <c r="A43" i="59" s="1"/>
  <c r="A44" i="59" s="1"/>
  <c r="A45" i="59" s="1"/>
  <c r="A46" i="59" s="1"/>
  <c r="A47" i="59" s="1"/>
  <c r="A48" i="59" s="1"/>
  <c r="A49" i="59" s="1"/>
  <c r="A50" i="59" s="1"/>
  <c r="A51" i="59" s="1"/>
  <c r="L13" i="1" l="1"/>
  <c r="N13" i="1"/>
  <c r="X11" i="1"/>
  <c r="S30" i="80"/>
  <c r="J32" i="80"/>
  <c r="L32" i="80"/>
  <c r="K32" i="80"/>
  <c r="H34" i="80"/>
  <c r="I33" i="80"/>
  <c r="M31" i="80"/>
  <c r="P31" i="80" s="1"/>
  <c r="N31" i="80"/>
  <c r="Q31" i="80" s="1"/>
  <c r="O31" i="80"/>
  <c r="R31" i="80"/>
  <c r="S30" i="79"/>
  <c r="L32" i="79"/>
  <c r="J32" i="79"/>
  <c r="K32" i="79"/>
  <c r="I33" i="79"/>
  <c r="H34" i="79"/>
  <c r="M31" i="79"/>
  <c r="P31" i="79" s="1"/>
  <c r="N31" i="79"/>
  <c r="Q31" i="79" s="1"/>
  <c r="O31" i="79"/>
  <c r="R31" i="79" s="1"/>
  <c r="M7" i="1"/>
  <c r="X7" i="1" s="1"/>
  <c r="T13" i="1"/>
  <c r="V13" i="1"/>
  <c r="Y11" i="1"/>
  <c r="S40" i="64"/>
  <c r="M10" i="1"/>
  <c r="X10" i="1" s="1"/>
  <c r="I19" i="59"/>
  <c r="I25" i="59" s="1"/>
  <c r="D29" i="59" s="1"/>
  <c r="Q27" i="63"/>
  <c r="Q41" i="64"/>
  <c r="Q36" i="63"/>
  <c r="Q23" i="63"/>
  <c r="Q25" i="63"/>
  <c r="Q28" i="63"/>
  <c r="P26" i="64"/>
  <c r="S13" i="1"/>
  <c r="M36" i="69"/>
  <c r="P36" i="69" s="1"/>
  <c r="N27" i="69"/>
  <c r="Q27" i="69" s="1"/>
  <c r="M33" i="69"/>
  <c r="P33" i="69" s="1"/>
  <c r="N41" i="69"/>
  <c r="Q41" i="69" s="1"/>
  <c r="N36" i="69"/>
  <c r="Q36" i="69" s="1"/>
  <c r="N32" i="69"/>
  <c r="Q32" i="69" s="1"/>
  <c r="N31" i="69"/>
  <c r="Q31" i="69" s="1"/>
  <c r="N24" i="69"/>
  <c r="Q24" i="69" s="1"/>
  <c r="M40" i="69"/>
  <c r="P40" i="69" s="1"/>
  <c r="M31" i="69"/>
  <c r="P31" i="69" s="1"/>
  <c r="M30" i="69"/>
  <c r="P30" i="69" s="1"/>
  <c r="M27" i="69"/>
  <c r="P27" i="69" s="1"/>
  <c r="M34" i="69"/>
  <c r="P34" i="69" s="1"/>
  <c r="M41" i="69"/>
  <c r="P41" i="69" s="1"/>
  <c r="N35" i="69"/>
  <c r="Q35" i="69" s="1"/>
  <c r="N39" i="69"/>
  <c r="Q39" i="69" s="1"/>
  <c r="N30" i="69"/>
  <c r="Q30" i="69" s="1"/>
  <c r="M25" i="69"/>
  <c r="P25" i="69" s="1"/>
  <c r="M43" i="69"/>
  <c r="P43" i="69" s="1"/>
  <c r="M42" i="69"/>
  <c r="P42" i="69" s="1"/>
  <c r="M29" i="69"/>
  <c r="P29" i="69" s="1"/>
  <c r="S29" i="69" s="1"/>
  <c r="N37" i="69"/>
  <c r="Q37" i="69" s="1"/>
  <c r="N28" i="69"/>
  <c r="Q28" i="69" s="1"/>
  <c r="N25" i="69"/>
  <c r="Q25" i="69" s="1"/>
  <c r="N42" i="69"/>
  <c r="Q42" i="69" s="1"/>
  <c r="M32" i="69"/>
  <c r="P32" i="69" s="1"/>
  <c r="M26" i="69"/>
  <c r="P26" i="69" s="1"/>
  <c r="S26" i="69" s="1"/>
  <c r="M24" i="69"/>
  <c r="P24" i="69" s="1"/>
  <c r="M23" i="69"/>
  <c r="P23" i="69" s="1"/>
  <c r="M37" i="69"/>
  <c r="P37" i="69" s="1"/>
  <c r="M39" i="69"/>
  <c r="P39" i="69" s="1"/>
  <c r="M38" i="69"/>
  <c r="P38" i="69" s="1"/>
  <c r="M28" i="69"/>
  <c r="P28" i="69" s="1"/>
  <c r="M35" i="69"/>
  <c r="P35" i="69" s="1"/>
  <c r="N33" i="69"/>
  <c r="Q33" i="69" s="1"/>
  <c r="N23" i="69"/>
  <c r="Q23" i="69" s="1"/>
  <c r="N40" i="69"/>
  <c r="Q40" i="69" s="1"/>
  <c r="N34" i="69"/>
  <c r="Q34" i="69" s="1"/>
  <c r="N43" i="69"/>
  <c r="Q43" i="69" s="1"/>
  <c r="N38" i="69"/>
  <c r="Q38" i="69" s="1"/>
  <c r="N28" i="64"/>
  <c r="Q28" i="64" s="1"/>
  <c r="N42" i="64"/>
  <c r="Q42" i="64" s="1"/>
  <c r="M28" i="64"/>
  <c r="P28" i="64" s="1"/>
  <c r="M43" i="64"/>
  <c r="P43" i="64" s="1"/>
  <c r="N33" i="64"/>
  <c r="Q33" i="64" s="1"/>
  <c r="N23" i="64"/>
  <c r="Q23" i="64" s="1"/>
  <c r="N31" i="64"/>
  <c r="Q31" i="64" s="1"/>
  <c r="N24" i="64"/>
  <c r="Q24" i="64" s="1"/>
  <c r="M31" i="64"/>
  <c r="P31" i="64" s="1"/>
  <c r="M42" i="64"/>
  <c r="P42" i="64" s="1"/>
  <c r="M29" i="64"/>
  <c r="P29" i="64" s="1"/>
  <c r="M36" i="64"/>
  <c r="P36" i="64" s="1"/>
  <c r="S36" i="64" s="1"/>
  <c r="M25" i="64"/>
  <c r="P25" i="64" s="1"/>
  <c r="M38" i="64"/>
  <c r="P38" i="64" s="1"/>
  <c r="N37" i="64"/>
  <c r="Q37" i="64" s="1"/>
  <c r="M32" i="64"/>
  <c r="P32" i="64" s="1"/>
  <c r="S32" i="64" s="1"/>
  <c r="N34" i="64"/>
  <c r="Q34" i="64" s="1"/>
  <c r="N39" i="64"/>
  <c r="Q39" i="64" s="1"/>
  <c r="N30" i="64"/>
  <c r="Q30" i="64" s="1"/>
  <c r="M24" i="64"/>
  <c r="P24" i="64" s="1"/>
  <c r="M23" i="64"/>
  <c r="P23" i="64" s="1"/>
  <c r="M33" i="64"/>
  <c r="P33" i="64" s="1"/>
  <c r="S33" i="64" s="1"/>
  <c r="M37" i="64"/>
  <c r="P37" i="64" s="1"/>
  <c r="M39" i="64"/>
  <c r="P39" i="64" s="1"/>
  <c r="N25" i="64"/>
  <c r="Q25" i="64" s="1"/>
  <c r="M35" i="64"/>
  <c r="P35" i="64" s="1"/>
  <c r="N29" i="64"/>
  <c r="Q29" i="64" s="1"/>
  <c r="N43" i="64"/>
  <c r="Q43" i="64" s="1"/>
  <c r="N38" i="64"/>
  <c r="Q38" i="64" s="1"/>
  <c r="N35" i="64"/>
  <c r="Q35" i="64" s="1"/>
  <c r="N26" i="64"/>
  <c r="Q26" i="64" s="1"/>
  <c r="S26" i="64" s="1"/>
  <c r="M30" i="64"/>
  <c r="P30" i="64" s="1"/>
  <c r="M27" i="64"/>
  <c r="P27" i="64" s="1"/>
  <c r="S27" i="64" s="1"/>
  <c r="M34" i="64"/>
  <c r="P34" i="64" s="1"/>
  <c r="M41" i="64"/>
  <c r="P41" i="64" s="1"/>
  <c r="S41" i="64" s="1"/>
  <c r="N41" i="63"/>
  <c r="Q41" i="63" s="1"/>
  <c r="N39" i="63"/>
  <c r="Q39" i="63" s="1"/>
  <c r="N26" i="63"/>
  <c r="Q26" i="63" s="1"/>
  <c r="M40" i="63"/>
  <c r="P40" i="63" s="1"/>
  <c r="M28" i="63"/>
  <c r="P28" i="63" s="1"/>
  <c r="M38" i="63"/>
  <c r="P38" i="63" s="1"/>
  <c r="S38" i="63" s="1"/>
  <c r="E38" i="61" s="1"/>
  <c r="M27" i="63"/>
  <c r="P27" i="63" s="1"/>
  <c r="S27" i="63" s="1"/>
  <c r="E27" i="61" s="1"/>
  <c r="M37" i="63"/>
  <c r="P37" i="63" s="1"/>
  <c r="S37" i="63" s="1"/>
  <c r="E37" i="61" s="1"/>
  <c r="M26" i="63"/>
  <c r="P26" i="63" s="1"/>
  <c r="M31" i="63"/>
  <c r="P31" i="63" s="1"/>
  <c r="M42" i="63"/>
  <c r="P42" i="63" s="1"/>
  <c r="S42" i="63" s="1"/>
  <c r="E42" i="61" s="1"/>
  <c r="N40" i="63"/>
  <c r="Q40" i="63" s="1"/>
  <c r="M41" i="63"/>
  <c r="P41" i="63" s="1"/>
  <c r="M33" i="63"/>
  <c r="P33" i="63" s="1"/>
  <c r="S33" i="63" s="1"/>
  <c r="E33" i="61" s="1"/>
  <c r="M32" i="63"/>
  <c r="P32" i="63" s="1"/>
  <c r="M36" i="63"/>
  <c r="P36" i="63" s="1"/>
  <c r="S36" i="63" s="1"/>
  <c r="E36" i="61" s="1"/>
  <c r="M39" i="63"/>
  <c r="P39" i="63" s="1"/>
  <c r="M24" i="63"/>
  <c r="P24" i="63" s="1"/>
  <c r="S24" i="63" s="1"/>
  <c r="E24" i="61" s="1"/>
  <c r="M29" i="63"/>
  <c r="P29" i="63" s="1"/>
  <c r="S29" i="63" s="1"/>
  <c r="E29" i="61" s="1"/>
  <c r="M25" i="63"/>
  <c r="P25" i="63" s="1"/>
  <c r="N31" i="63"/>
  <c r="Q31" i="63" s="1"/>
  <c r="M34" i="63"/>
  <c r="P34" i="63" s="1"/>
  <c r="S34" i="63" s="1"/>
  <c r="E34" i="61" s="1"/>
  <c r="M23" i="63"/>
  <c r="P23" i="63" s="1"/>
  <c r="N32" i="63"/>
  <c r="Q32" i="63" s="1"/>
  <c r="M35" i="63"/>
  <c r="P35" i="63" s="1"/>
  <c r="S35" i="63" s="1"/>
  <c r="E35" i="61" s="1"/>
  <c r="M43" i="63"/>
  <c r="P43" i="63" s="1"/>
  <c r="S43" i="63" s="1"/>
  <c r="E43" i="61" s="1"/>
  <c r="M30" i="63"/>
  <c r="P30" i="63" s="1"/>
  <c r="S30" i="63" s="1"/>
  <c r="E30" i="61" s="1"/>
  <c r="Q41" i="62"/>
  <c r="P40" i="62"/>
  <c r="S40" i="62" s="1"/>
  <c r="S26" i="62"/>
  <c r="M32" i="62"/>
  <c r="P32" i="62" s="1"/>
  <c r="S32" i="62" s="1"/>
  <c r="M39" i="62"/>
  <c r="P39" i="62" s="1"/>
  <c r="N25" i="62"/>
  <c r="Q25" i="62" s="1"/>
  <c r="M38" i="62"/>
  <c r="P38" i="62" s="1"/>
  <c r="M28" i="62"/>
  <c r="P28" i="62" s="1"/>
  <c r="N31" i="62"/>
  <c r="Q31" i="62" s="1"/>
  <c r="N24" i="62"/>
  <c r="Q24" i="62" s="1"/>
  <c r="M36" i="62"/>
  <c r="P36" i="62" s="1"/>
  <c r="S36" i="62" s="1"/>
  <c r="M43" i="62"/>
  <c r="P43" i="62" s="1"/>
  <c r="N28" i="62"/>
  <c r="Q28" i="62" s="1"/>
  <c r="N39" i="62"/>
  <c r="Q39" i="62" s="1"/>
  <c r="N30" i="62"/>
  <c r="Q30" i="62" s="1"/>
  <c r="M24" i="62"/>
  <c r="P24" i="62" s="1"/>
  <c r="M23" i="62"/>
  <c r="P23" i="62" s="1"/>
  <c r="M33" i="62"/>
  <c r="P33" i="62" s="1"/>
  <c r="M37" i="62"/>
  <c r="P37" i="62" s="1"/>
  <c r="N37" i="62"/>
  <c r="Q37" i="62" s="1"/>
  <c r="N23" i="62"/>
  <c r="Q23" i="62" s="1"/>
  <c r="N42" i="62"/>
  <c r="Q42" i="62" s="1"/>
  <c r="M35" i="62"/>
  <c r="P35" i="62" s="1"/>
  <c r="S35" i="62" s="1"/>
  <c r="N29" i="62"/>
  <c r="Q29" i="62" s="1"/>
  <c r="M42" i="62"/>
  <c r="P42" i="62" s="1"/>
  <c r="M29" i="62"/>
  <c r="P29" i="62" s="1"/>
  <c r="N33" i="62"/>
  <c r="Q33" i="62" s="1"/>
  <c r="M31" i="62"/>
  <c r="P31" i="62" s="1"/>
  <c r="N34" i="62"/>
  <c r="Q34" i="62" s="1"/>
  <c r="M25" i="62"/>
  <c r="P25" i="62" s="1"/>
  <c r="N43" i="62"/>
  <c r="Q43" i="62" s="1"/>
  <c r="N38" i="62"/>
  <c r="Q38" i="62" s="1"/>
  <c r="M30" i="62"/>
  <c r="P30" i="62" s="1"/>
  <c r="M27" i="62"/>
  <c r="P27" i="62" s="1"/>
  <c r="S27" i="62" s="1"/>
  <c r="M34" i="62"/>
  <c r="P34" i="62" s="1"/>
  <c r="M41" i="62"/>
  <c r="P41" i="62" s="1"/>
  <c r="B27" i="61"/>
  <c r="D24" i="59" l="1"/>
  <c r="E16" i="1" s="1"/>
  <c r="E21" i="1"/>
  <c r="D26" i="59"/>
  <c r="E18" i="1" s="1"/>
  <c r="D22" i="59"/>
  <c r="E14" i="1" s="1"/>
  <c r="D27" i="59"/>
  <c r="E19" i="1" s="1"/>
  <c r="D23" i="59"/>
  <c r="E15" i="1" s="1"/>
  <c r="D25" i="59"/>
  <c r="E17" i="1" s="1"/>
  <c r="D21" i="59"/>
  <c r="D48" i="59"/>
  <c r="E40" i="1" s="1"/>
  <c r="D49" i="59"/>
  <c r="E41" i="1" s="1"/>
  <c r="D51" i="59"/>
  <c r="E43" i="1" s="1"/>
  <c r="D50" i="59"/>
  <c r="E42" i="1" s="1"/>
  <c r="S31" i="80"/>
  <c r="H35" i="80"/>
  <c r="I34" i="80"/>
  <c r="N32" i="80"/>
  <c r="Q32" i="80"/>
  <c r="L33" i="80"/>
  <c r="K33" i="80"/>
  <c r="J33" i="80"/>
  <c r="O32" i="80"/>
  <c r="R32" i="80" s="1"/>
  <c r="M32" i="80"/>
  <c r="P32" i="80" s="1"/>
  <c r="M32" i="79"/>
  <c r="P32" i="79" s="1"/>
  <c r="O32" i="79"/>
  <c r="R32" i="79" s="1"/>
  <c r="H35" i="79"/>
  <c r="I34" i="79"/>
  <c r="L33" i="79"/>
  <c r="J33" i="79"/>
  <c r="K33" i="79"/>
  <c r="S31" i="79"/>
  <c r="N32" i="79"/>
  <c r="Q32" i="79" s="1"/>
  <c r="S41" i="62"/>
  <c r="S23" i="63"/>
  <c r="E23" i="61" s="1"/>
  <c r="S31" i="69"/>
  <c r="S39" i="69"/>
  <c r="S25" i="63"/>
  <c r="E25" i="61" s="1"/>
  <c r="S28" i="63"/>
  <c r="E28" i="61" s="1"/>
  <c r="S34" i="62"/>
  <c r="S27" i="69"/>
  <c r="S14" i="1"/>
  <c r="S28" i="64"/>
  <c r="S28" i="69"/>
  <c r="S38" i="69"/>
  <c r="S32" i="69"/>
  <c r="S42" i="69"/>
  <c r="S35" i="69"/>
  <c r="S43" i="69"/>
  <c r="S41" i="69"/>
  <c r="S36" i="69"/>
  <c r="S37" i="69"/>
  <c r="S25" i="69"/>
  <c r="S34" i="69"/>
  <c r="S30" i="69"/>
  <c r="S40" i="69"/>
  <c r="S33" i="69"/>
  <c r="S24" i="69"/>
  <c r="S23" i="69"/>
  <c r="S30" i="64"/>
  <c r="S39" i="64"/>
  <c r="S24" i="64"/>
  <c r="S37" i="64"/>
  <c r="S29" i="64"/>
  <c r="S34" i="64"/>
  <c r="S38" i="64"/>
  <c r="S42" i="64"/>
  <c r="S43" i="64"/>
  <c r="S23" i="64"/>
  <c r="S35" i="64"/>
  <c r="S25" i="64"/>
  <c r="S31" i="64"/>
  <c r="S32" i="63"/>
  <c r="E32" i="61" s="1"/>
  <c r="S39" i="63"/>
  <c r="E39" i="61" s="1"/>
  <c r="S41" i="63"/>
  <c r="E41" i="61" s="1"/>
  <c r="S31" i="63"/>
  <c r="E31" i="61" s="1"/>
  <c r="S40" i="63"/>
  <c r="E40" i="61" s="1"/>
  <c r="S26" i="63"/>
  <c r="E26" i="61" s="1"/>
  <c r="S30" i="62"/>
  <c r="S25" i="62"/>
  <c r="S33" i="62"/>
  <c r="S43" i="62"/>
  <c r="S29" i="62"/>
  <c r="S31" i="62"/>
  <c r="S24" i="62"/>
  <c r="S38" i="62"/>
  <c r="S37" i="62"/>
  <c r="S28" i="62"/>
  <c r="S39" i="62"/>
  <c r="S42" i="62"/>
  <c r="S23" i="62"/>
  <c r="B28" i="61"/>
  <c r="C28" i="59"/>
  <c r="E13" i="1" l="1"/>
  <c r="S32" i="80"/>
  <c r="N33" i="80"/>
  <c r="Q33" i="80" s="1"/>
  <c r="O33" i="80"/>
  <c r="R33" i="80" s="1"/>
  <c r="M33" i="80"/>
  <c r="P33" i="80" s="1"/>
  <c r="S33" i="80" s="1"/>
  <c r="J34" i="80"/>
  <c r="L34" i="80"/>
  <c r="K34" i="80"/>
  <c r="H36" i="80"/>
  <c r="I35" i="80"/>
  <c r="S32" i="79"/>
  <c r="M33" i="79"/>
  <c r="P33" i="79" s="1"/>
  <c r="S33" i="79" s="1"/>
  <c r="O33" i="79"/>
  <c r="R33" i="79" s="1"/>
  <c r="L34" i="79"/>
  <c r="J34" i="79"/>
  <c r="K34" i="79"/>
  <c r="I35" i="79"/>
  <c r="H36" i="79"/>
  <c r="N33" i="79"/>
  <c r="Q33" i="79" s="1"/>
  <c r="S48" i="69"/>
  <c r="S15" i="1"/>
  <c r="S48" i="64"/>
  <c r="S48" i="63"/>
  <c r="S48" i="62"/>
  <c r="B29" i="61"/>
  <c r="C30" i="59"/>
  <c r="D28" i="59"/>
  <c r="E20" i="1" s="1"/>
  <c r="L35" i="80" l="1"/>
  <c r="J35" i="80"/>
  <c r="K35" i="80"/>
  <c r="M34" i="80"/>
  <c r="P34" i="80" s="1"/>
  <c r="H37" i="80"/>
  <c r="I36" i="80"/>
  <c r="O34" i="80"/>
  <c r="R34" i="80" s="1"/>
  <c r="N34" i="80"/>
  <c r="Q34" i="80" s="1"/>
  <c r="N34" i="79"/>
  <c r="Q34" i="79" s="1"/>
  <c r="O34" i="79"/>
  <c r="R34" i="79"/>
  <c r="H37" i="79"/>
  <c r="I36" i="79"/>
  <c r="M34" i="79"/>
  <c r="P34" i="79" s="1"/>
  <c r="S34" i="79" s="1"/>
  <c r="L35" i="79"/>
  <c r="J35" i="79"/>
  <c r="K35" i="79"/>
  <c r="S16" i="1"/>
  <c r="B30" i="61"/>
  <c r="C31" i="59"/>
  <c r="D30" i="59"/>
  <c r="E22" i="1" s="1"/>
  <c r="S34" i="80" l="1"/>
  <c r="N35" i="80"/>
  <c r="Q35" i="80" s="1"/>
  <c r="J36" i="80"/>
  <c r="L36" i="80"/>
  <c r="K36" i="80"/>
  <c r="H38" i="80"/>
  <c r="I37" i="80"/>
  <c r="M35" i="80"/>
  <c r="P35" i="80" s="1"/>
  <c r="O35" i="80"/>
  <c r="R35" i="80" s="1"/>
  <c r="N35" i="79"/>
  <c r="Q35" i="79" s="1"/>
  <c r="L36" i="79"/>
  <c r="K36" i="79"/>
  <c r="J36" i="79"/>
  <c r="M35" i="79"/>
  <c r="P35" i="79" s="1"/>
  <c r="H38" i="79"/>
  <c r="I37" i="79"/>
  <c r="O35" i="79"/>
  <c r="R35" i="79" s="1"/>
  <c r="B31" i="61"/>
  <c r="D31" i="59"/>
  <c r="E23" i="1" s="1"/>
  <c r="C32" i="59"/>
  <c r="S35" i="80" l="1"/>
  <c r="M36" i="80"/>
  <c r="P36" i="80" s="1"/>
  <c r="N36" i="80"/>
  <c r="Q36" i="80" s="1"/>
  <c r="O36" i="80"/>
  <c r="R36" i="80" s="1"/>
  <c r="L37" i="80"/>
  <c r="J37" i="80"/>
  <c r="K37" i="80"/>
  <c r="H39" i="80"/>
  <c r="I38" i="80"/>
  <c r="S35" i="79"/>
  <c r="H39" i="79"/>
  <c r="I38" i="79"/>
  <c r="M36" i="79"/>
  <c r="P36" i="79" s="1"/>
  <c r="N36" i="79"/>
  <c r="Q36" i="79" s="1"/>
  <c r="O36" i="79"/>
  <c r="R36" i="79" s="1"/>
  <c r="L37" i="79"/>
  <c r="J37" i="79"/>
  <c r="K37" i="79"/>
  <c r="B32" i="61"/>
  <c r="D32" i="59"/>
  <c r="E24" i="1" s="1"/>
  <c r="C33" i="59"/>
  <c r="S36" i="80" l="1"/>
  <c r="M37" i="80"/>
  <c r="P37" i="80" s="1"/>
  <c r="O37" i="80"/>
  <c r="R37" i="80" s="1"/>
  <c r="J38" i="80"/>
  <c r="L38" i="80"/>
  <c r="K38" i="80"/>
  <c r="H40" i="80"/>
  <c r="I39" i="80"/>
  <c r="N37" i="80"/>
  <c r="Q37" i="80" s="1"/>
  <c r="S36" i="79"/>
  <c r="L38" i="79"/>
  <c r="J38" i="79"/>
  <c r="K38" i="79"/>
  <c r="H40" i="79"/>
  <c r="I39" i="79"/>
  <c r="N37" i="79"/>
  <c r="Q37" i="79" s="1"/>
  <c r="M37" i="79"/>
  <c r="P37" i="79" s="1"/>
  <c r="O37" i="79"/>
  <c r="R37" i="79" s="1"/>
  <c r="B33" i="61"/>
  <c r="D33" i="59"/>
  <c r="C34" i="59"/>
  <c r="E25" i="1" l="1"/>
  <c r="S37" i="80"/>
  <c r="M38" i="80"/>
  <c r="P38" i="80" s="1"/>
  <c r="L39" i="80"/>
  <c r="J39" i="80"/>
  <c r="K39" i="80"/>
  <c r="N38" i="80"/>
  <c r="Q38" i="80" s="1"/>
  <c r="O38" i="80"/>
  <c r="R38" i="80" s="1"/>
  <c r="H41" i="80"/>
  <c r="I40" i="80"/>
  <c r="S37" i="79"/>
  <c r="H41" i="79"/>
  <c r="I40" i="79"/>
  <c r="N38" i="79"/>
  <c r="Q38" i="79" s="1"/>
  <c r="L39" i="79"/>
  <c r="J39" i="79"/>
  <c r="K39" i="79"/>
  <c r="M38" i="79"/>
  <c r="P38" i="79" s="1"/>
  <c r="O38" i="79"/>
  <c r="R38" i="79" s="1"/>
  <c r="B34" i="61"/>
  <c r="D34" i="59"/>
  <c r="E26" i="1" s="1"/>
  <c r="C35" i="59"/>
  <c r="S38" i="80" l="1"/>
  <c r="J40" i="80"/>
  <c r="L40" i="80"/>
  <c r="K40" i="80"/>
  <c r="O39" i="80"/>
  <c r="R39" i="80" s="1"/>
  <c r="M39" i="80"/>
  <c r="P39" i="80" s="1"/>
  <c r="H42" i="80"/>
  <c r="I41" i="80"/>
  <c r="N39" i="80"/>
  <c r="Q39" i="80" s="1"/>
  <c r="S38" i="79"/>
  <c r="M39" i="79"/>
  <c r="P39" i="79" s="1"/>
  <c r="H42" i="79"/>
  <c r="I41" i="79"/>
  <c r="N39" i="79"/>
  <c r="Q39" i="79" s="1"/>
  <c r="O39" i="79"/>
  <c r="R39" i="79" s="1"/>
  <c r="L40" i="79"/>
  <c r="K40" i="79"/>
  <c r="J40" i="79"/>
  <c r="B35" i="61"/>
  <c r="C36" i="59"/>
  <c r="D35" i="59"/>
  <c r="E27" i="1" s="1"/>
  <c r="M12" i="1"/>
  <c r="S39" i="80" l="1"/>
  <c r="N40" i="80"/>
  <c r="Q40" i="80" s="1"/>
  <c r="O40" i="80"/>
  <c r="R40" i="80" s="1"/>
  <c r="M40" i="80"/>
  <c r="P40" i="80" s="1"/>
  <c r="S40" i="80" s="1"/>
  <c r="L41" i="80"/>
  <c r="K41" i="80"/>
  <c r="J41" i="80"/>
  <c r="H43" i="80"/>
  <c r="I42" i="80"/>
  <c r="S39" i="79"/>
  <c r="L41" i="79"/>
  <c r="J41" i="79"/>
  <c r="K41" i="79"/>
  <c r="H43" i="79"/>
  <c r="I42" i="79"/>
  <c r="M40" i="79"/>
  <c r="P40" i="79" s="1"/>
  <c r="N40" i="79"/>
  <c r="Q40" i="79" s="1"/>
  <c r="O40" i="79"/>
  <c r="R40" i="79" s="1"/>
  <c r="B36" i="61"/>
  <c r="C37" i="59"/>
  <c r="D36" i="59"/>
  <c r="E28" i="1" s="1"/>
  <c r="I10" i="12"/>
  <c r="L10" i="12" s="1"/>
  <c r="O10" i="12" s="1"/>
  <c r="I11" i="12"/>
  <c r="L11" i="12" s="1"/>
  <c r="O11" i="12" s="1"/>
  <c r="I12" i="12"/>
  <c r="L12" i="12" s="1"/>
  <c r="O12" i="12" s="1"/>
  <c r="I13" i="12"/>
  <c r="L13" i="12" s="1"/>
  <c r="O13" i="12" s="1"/>
  <c r="I14" i="12"/>
  <c r="L14" i="12" s="1"/>
  <c r="O14" i="12" s="1"/>
  <c r="I15" i="12"/>
  <c r="L15" i="12" s="1"/>
  <c r="O15" i="12" s="1"/>
  <c r="I16" i="12"/>
  <c r="L16" i="12" s="1"/>
  <c r="O16" i="12" s="1"/>
  <c r="I17" i="12"/>
  <c r="L17" i="12" s="1"/>
  <c r="O17" i="12" s="1"/>
  <c r="R17" i="12" s="1"/>
  <c r="I18" i="12"/>
  <c r="L18" i="12" s="1"/>
  <c r="O18" i="12" s="1"/>
  <c r="R18" i="12" s="1"/>
  <c r="I19" i="12"/>
  <c r="L19" i="12" s="1"/>
  <c r="O19" i="12" s="1"/>
  <c r="R19" i="12" s="1"/>
  <c r="I20" i="12"/>
  <c r="L20" i="12" s="1"/>
  <c r="O20" i="12" s="1"/>
  <c r="R20" i="12" s="1"/>
  <c r="I21" i="12"/>
  <c r="L21" i="12" s="1"/>
  <c r="O21" i="12" s="1"/>
  <c r="R21" i="12" s="1"/>
  <c r="I22" i="12"/>
  <c r="L22" i="12" s="1"/>
  <c r="O22" i="12" s="1"/>
  <c r="R22" i="12" s="1"/>
  <c r="I23" i="12"/>
  <c r="L23" i="12" s="1"/>
  <c r="O23" i="12" s="1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9" i="12"/>
  <c r="L9" i="12" s="1"/>
  <c r="O9" i="12" s="1"/>
  <c r="I8" i="12"/>
  <c r="L8" i="12" s="1"/>
  <c r="O8" i="12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J42" i="80" l="1"/>
  <c r="L42" i="80"/>
  <c r="K42" i="80"/>
  <c r="H44" i="80"/>
  <c r="I43" i="80"/>
  <c r="M41" i="80"/>
  <c r="P41" i="80" s="1"/>
  <c r="S41" i="80" s="1"/>
  <c r="R41" i="80"/>
  <c r="O41" i="80"/>
  <c r="N41" i="80"/>
  <c r="Q41" i="80" s="1"/>
  <c r="S40" i="79"/>
  <c r="H44" i="79"/>
  <c r="I43" i="79"/>
  <c r="N41" i="79"/>
  <c r="Q41" i="79" s="1"/>
  <c r="M41" i="79"/>
  <c r="P41" i="79" s="1"/>
  <c r="L42" i="79"/>
  <c r="K42" i="79"/>
  <c r="J42" i="79"/>
  <c r="O41" i="79"/>
  <c r="R41" i="79" s="1"/>
  <c r="B38" i="1"/>
  <c r="B39" i="1" s="1"/>
  <c r="B40" i="1" s="1"/>
  <c r="B41" i="1" s="1"/>
  <c r="B42" i="1" s="1"/>
  <c r="B43" i="1" s="1"/>
  <c r="L41" i="12"/>
  <c r="O41" i="12" s="1"/>
  <c r="L40" i="12"/>
  <c r="O40" i="12" s="1"/>
  <c r="L36" i="12"/>
  <c r="O36" i="12" s="1"/>
  <c r="L32" i="12"/>
  <c r="O32" i="12" s="1"/>
  <c r="L28" i="12"/>
  <c r="O28" i="12" s="1"/>
  <c r="L24" i="12"/>
  <c r="O24" i="12" s="1"/>
  <c r="L33" i="12"/>
  <c r="O33" i="12" s="1"/>
  <c r="L29" i="12"/>
  <c r="O29" i="12" s="1"/>
  <c r="L43" i="12"/>
  <c r="O43" i="12" s="1"/>
  <c r="L39" i="12"/>
  <c r="O39" i="12" s="1"/>
  <c r="L35" i="12"/>
  <c r="O35" i="12" s="1"/>
  <c r="L31" i="12"/>
  <c r="O31" i="12" s="1"/>
  <c r="L27" i="12"/>
  <c r="O27" i="12" s="1"/>
  <c r="L37" i="12"/>
  <c r="O37" i="12" s="1"/>
  <c r="L25" i="12"/>
  <c r="O25" i="12" s="1"/>
  <c r="L42" i="12"/>
  <c r="O42" i="12" s="1"/>
  <c r="L38" i="12"/>
  <c r="O38" i="12" s="1"/>
  <c r="L34" i="12"/>
  <c r="O34" i="12" s="1"/>
  <c r="L30" i="12"/>
  <c r="O30" i="12" s="1"/>
  <c r="L26" i="12"/>
  <c r="O26" i="12" s="1"/>
  <c r="B37" i="61"/>
  <c r="A14" i="1"/>
  <c r="U13" i="1"/>
  <c r="W13" i="1"/>
  <c r="D37" i="59"/>
  <c r="E29" i="1" s="1"/>
  <c r="C38" i="59"/>
  <c r="R23" i="12"/>
  <c r="E11" i="54"/>
  <c r="G86" i="52"/>
  <c r="G85" i="52"/>
  <c r="G84" i="52"/>
  <c r="G83" i="52"/>
  <c r="G82" i="52"/>
  <c r="G81" i="52"/>
  <c r="G80" i="52"/>
  <c r="G67" i="52"/>
  <c r="G66" i="52"/>
  <c r="G65" i="52"/>
  <c r="G64" i="52"/>
  <c r="G63" i="52"/>
  <c r="G62" i="52"/>
  <c r="G61" i="52"/>
  <c r="G60" i="52"/>
  <c r="G59" i="52"/>
  <c r="G44" i="52"/>
  <c r="G43" i="52"/>
  <c r="G42" i="52"/>
  <c r="G41" i="52"/>
  <c r="G40" i="52"/>
  <c r="G39" i="52"/>
  <c r="G38" i="52"/>
  <c r="G37" i="52"/>
  <c r="G36" i="52"/>
  <c r="G35" i="52"/>
  <c r="G24" i="52"/>
  <c r="G23" i="52"/>
  <c r="G22" i="52"/>
  <c r="G21" i="52"/>
  <c r="G20" i="52"/>
  <c r="G19" i="52"/>
  <c r="G18" i="52"/>
  <c r="G17" i="52"/>
  <c r="G16" i="52"/>
  <c r="G59" i="51"/>
  <c r="G60" i="51"/>
  <c r="G61" i="51"/>
  <c r="G62" i="51"/>
  <c r="G63" i="51"/>
  <c r="G64" i="51"/>
  <c r="G65" i="51"/>
  <c r="G66" i="51"/>
  <c r="G67" i="51"/>
  <c r="G80" i="51"/>
  <c r="G81" i="51"/>
  <c r="G82" i="51"/>
  <c r="G83" i="51"/>
  <c r="G84" i="51"/>
  <c r="G85" i="51"/>
  <c r="G86" i="51"/>
  <c r="G16" i="51"/>
  <c r="G17" i="51"/>
  <c r="G18" i="51"/>
  <c r="G19" i="51"/>
  <c r="G20" i="51"/>
  <c r="G21" i="51"/>
  <c r="G22" i="51"/>
  <c r="G23" i="51"/>
  <c r="G24" i="51"/>
  <c r="G35" i="51"/>
  <c r="G36" i="51"/>
  <c r="G37" i="51"/>
  <c r="G38" i="51"/>
  <c r="G39" i="51"/>
  <c r="G40" i="51"/>
  <c r="G41" i="51"/>
  <c r="G42" i="51"/>
  <c r="G43" i="51"/>
  <c r="G44" i="51"/>
  <c r="N14" i="1" l="1"/>
  <c r="L14" i="1"/>
  <c r="L43" i="80"/>
  <c r="J43" i="80"/>
  <c r="K43" i="80"/>
  <c r="H45" i="80"/>
  <c r="I44" i="80"/>
  <c r="N42" i="80"/>
  <c r="Q42" i="80" s="1"/>
  <c r="O42" i="80"/>
  <c r="R42" i="80" s="1"/>
  <c r="M42" i="80"/>
  <c r="P42" i="80" s="1"/>
  <c r="S41" i="79"/>
  <c r="O42" i="79"/>
  <c r="R42" i="79" s="1"/>
  <c r="L43" i="79"/>
  <c r="K43" i="79"/>
  <c r="J43" i="79"/>
  <c r="N42" i="79"/>
  <c r="Q42" i="79" s="1"/>
  <c r="M42" i="79"/>
  <c r="P42" i="79" s="1"/>
  <c r="H45" i="79"/>
  <c r="I44" i="79"/>
  <c r="T14" i="1"/>
  <c r="V14" i="1"/>
  <c r="G93" i="51"/>
  <c r="R26" i="12"/>
  <c r="R34" i="12"/>
  <c r="R42" i="12"/>
  <c r="R37" i="12"/>
  <c r="R31" i="12"/>
  <c r="R39" i="12"/>
  <c r="R29" i="12"/>
  <c r="R24" i="12"/>
  <c r="R32" i="12"/>
  <c r="R40" i="12"/>
  <c r="R30" i="12"/>
  <c r="R38" i="12"/>
  <c r="R25" i="12"/>
  <c r="R27" i="12"/>
  <c r="R35" i="12"/>
  <c r="R43" i="12"/>
  <c r="R33" i="12"/>
  <c r="R28" i="12"/>
  <c r="R36" i="12"/>
  <c r="R41" i="12"/>
  <c r="B38" i="61"/>
  <c r="A15" i="1"/>
  <c r="U14" i="1"/>
  <c r="W14" i="1"/>
  <c r="D38" i="59"/>
  <c r="E30" i="1" s="1"/>
  <c r="C39" i="59"/>
  <c r="G93" i="52"/>
  <c r="G46" i="52"/>
  <c r="G46" i="51"/>
  <c r="N15" i="1" l="1"/>
  <c r="L15" i="1"/>
  <c r="S42" i="80"/>
  <c r="J44" i="80"/>
  <c r="L44" i="80"/>
  <c r="K44" i="80"/>
  <c r="H46" i="80"/>
  <c r="I45" i="80"/>
  <c r="N43" i="80"/>
  <c r="Q43" i="80" s="1"/>
  <c r="M43" i="80"/>
  <c r="P43" i="80" s="1"/>
  <c r="O43" i="80"/>
  <c r="R43" i="80" s="1"/>
  <c r="S42" i="79"/>
  <c r="L44" i="79"/>
  <c r="K44" i="79"/>
  <c r="J44" i="79"/>
  <c r="M43" i="79"/>
  <c r="P43" i="79" s="1"/>
  <c r="O43" i="79"/>
  <c r="R43" i="79" s="1"/>
  <c r="H46" i="79"/>
  <c r="I45" i="79"/>
  <c r="N43" i="79"/>
  <c r="Q43" i="79" s="1"/>
  <c r="G95" i="52"/>
  <c r="E4" i="54" s="1"/>
  <c r="G95" i="51"/>
  <c r="E3" i="54" s="1"/>
  <c r="T15" i="1"/>
  <c r="U15" i="1" s="1"/>
  <c r="V15" i="1"/>
  <c r="W15" i="1" s="1"/>
  <c r="B39" i="61"/>
  <c r="A16" i="1"/>
  <c r="D39" i="59"/>
  <c r="E31" i="1" s="1"/>
  <c r="C40" i="59"/>
  <c r="N16" i="1" l="1"/>
  <c r="L16" i="1"/>
  <c r="L45" i="80"/>
  <c r="K45" i="80"/>
  <c r="J45" i="80"/>
  <c r="H47" i="80"/>
  <c r="I47" i="80" s="1"/>
  <c r="I46" i="80"/>
  <c r="N44" i="80"/>
  <c r="Q44" i="80" s="1"/>
  <c r="S43" i="80"/>
  <c r="S48" i="80" s="1"/>
  <c r="O44" i="80"/>
  <c r="R44" i="80"/>
  <c r="M44" i="80"/>
  <c r="P44" i="80" s="1"/>
  <c r="S43" i="79"/>
  <c r="S48" i="79" s="1"/>
  <c r="M44" i="79"/>
  <c r="P44" i="79" s="1"/>
  <c r="N44" i="79"/>
  <c r="Q44" i="79" s="1"/>
  <c r="H47" i="79"/>
  <c r="I47" i="79" s="1"/>
  <c r="I46" i="79"/>
  <c r="L45" i="79"/>
  <c r="J45" i="79"/>
  <c r="K45" i="79"/>
  <c r="O44" i="79"/>
  <c r="R44" i="79" s="1"/>
  <c r="E6" i="54"/>
  <c r="E13" i="54" s="1"/>
  <c r="E25" i="33" s="1"/>
  <c r="T16" i="1"/>
  <c r="V16" i="1"/>
  <c r="B40" i="61"/>
  <c r="D40" i="59"/>
  <c r="E32" i="1" s="1"/>
  <c r="C41" i="59"/>
  <c r="S44" i="80" l="1"/>
  <c r="M45" i="80"/>
  <c r="P45" i="80" s="1"/>
  <c r="L47" i="80"/>
  <c r="K47" i="80"/>
  <c r="J47" i="80"/>
  <c r="N45" i="80"/>
  <c r="Q45" i="80" s="1"/>
  <c r="J46" i="80"/>
  <c r="L46" i="80"/>
  <c r="K46" i="80"/>
  <c r="O45" i="80"/>
  <c r="R45" i="80" s="1"/>
  <c r="S44" i="79"/>
  <c r="L47" i="79"/>
  <c r="K47" i="79"/>
  <c r="J47" i="79"/>
  <c r="L46" i="79"/>
  <c r="J46" i="79"/>
  <c r="K46" i="79"/>
  <c r="N45" i="79"/>
  <c r="Q45" i="79" s="1"/>
  <c r="O45" i="79"/>
  <c r="R45" i="79" s="1"/>
  <c r="M45" i="79"/>
  <c r="P45" i="79" s="1"/>
  <c r="C21" i="1"/>
  <c r="C18" i="1"/>
  <c r="C13" i="1"/>
  <c r="C17" i="1"/>
  <c r="C16" i="1"/>
  <c r="C15" i="1"/>
  <c r="C14" i="1"/>
  <c r="C19" i="1"/>
  <c r="C40" i="1"/>
  <c r="C41" i="1"/>
  <c r="C43" i="1"/>
  <c r="C42" i="1"/>
  <c r="B41" i="61"/>
  <c r="D41" i="59"/>
  <c r="E33" i="1" s="1"/>
  <c r="C42" i="59"/>
  <c r="A7" i="33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S45" i="80" l="1"/>
  <c r="N47" i="80"/>
  <c r="Q47" i="80" s="1"/>
  <c r="M46" i="80"/>
  <c r="P46" i="80" s="1"/>
  <c r="M47" i="80"/>
  <c r="P47" i="80" s="1"/>
  <c r="R47" i="80"/>
  <c r="O47" i="80"/>
  <c r="N46" i="80"/>
  <c r="Q46" i="80" s="1"/>
  <c r="O46" i="80"/>
  <c r="R46" i="80"/>
  <c r="S45" i="79"/>
  <c r="M47" i="79"/>
  <c r="P47" i="79" s="1"/>
  <c r="N47" i="79"/>
  <c r="Q47" i="79" s="1"/>
  <c r="N46" i="79"/>
  <c r="Q46" i="79" s="1"/>
  <c r="O47" i="79"/>
  <c r="R47" i="79" s="1"/>
  <c r="M46" i="79"/>
  <c r="P46" i="79" s="1"/>
  <c r="O46" i="79"/>
  <c r="R46" i="79" s="1"/>
  <c r="B42" i="61"/>
  <c r="D42" i="59"/>
  <c r="E34" i="1" s="1"/>
  <c r="C43" i="59"/>
  <c r="S47" i="80" l="1"/>
  <c r="S46" i="80"/>
  <c r="S47" i="79"/>
  <c r="S46" i="79"/>
  <c r="B43" i="61"/>
  <c r="B44" i="61" s="1"/>
  <c r="B45" i="61" s="1"/>
  <c r="B46" i="61" s="1"/>
  <c r="B47" i="61" s="1"/>
  <c r="C44" i="59"/>
  <c r="D43" i="59"/>
  <c r="E35" i="1" s="1"/>
  <c r="O12" i="1" l="1"/>
  <c r="C45" i="59"/>
  <c r="D44" i="59"/>
  <c r="E36" i="1" s="1"/>
  <c r="U12" i="1"/>
  <c r="X12" i="1" s="1"/>
  <c r="C20" i="1" l="1"/>
  <c r="S17" i="1"/>
  <c r="D45" i="59"/>
  <c r="E37" i="1" s="1"/>
  <c r="C46" i="59"/>
  <c r="W12" i="1"/>
  <c r="Y12" i="1" s="1"/>
  <c r="C22" i="1" l="1"/>
  <c r="S20" i="1"/>
  <c r="S19" i="1"/>
  <c r="S21" i="1"/>
  <c r="S18" i="1"/>
  <c r="D46" i="59"/>
  <c r="E38" i="1" s="1"/>
  <c r="C23" i="1" l="1"/>
  <c r="C47" i="59"/>
  <c r="D47" i="59" s="1"/>
  <c r="Q44" i="1"/>
  <c r="S44" i="1" s="1"/>
  <c r="E39" i="1" l="1"/>
  <c r="D52" i="59"/>
  <c r="C24" i="1"/>
  <c r="E44" i="1"/>
  <c r="C25" i="1" l="1"/>
  <c r="C26" i="1" l="1"/>
  <c r="C27" i="1" l="1"/>
  <c r="C19" i="12"/>
  <c r="C18" i="12"/>
  <c r="K7" i="12" s="1"/>
  <c r="C17" i="12"/>
  <c r="J7" i="12" s="1"/>
  <c r="C16" i="12"/>
  <c r="S7" i="12"/>
  <c r="N7" i="12" l="1"/>
  <c r="K11" i="12"/>
  <c r="N11" i="12" s="1"/>
  <c r="K15" i="12"/>
  <c r="N15" i="12" s="1"/>
  <c r="K19" i="12"/>
  <c r="N19" i="12" s="1"/>
  <c r="Q19" i="12" s="1"/>
  <c r="K23" i="12"/>
  <c r="N23" i="12" s="1"/>
  <c r="K27" i="12"/>
  <c r="N27" i="12" s="1"/>
  <c r="K31" i="12"/>
  <c r="N31" i="12" s="1"/>
  <c r="K35" i="12"/>
  <c r="N35" i="12" s="1"/>
  <c r="K39" i="12"/>
  <c r="N39" i="12" s="1"/>
  <c r="K43" i="12"/>
  <c r="N43" i="12" s="1"/>
  <c r="K10" i="12"/>
  <c r="N10" i="12" s="1"/>
  <c r="K14" i="12"/>
  <c r="N14" i="12" s="1"/>
  <c r="K18" i="12"/>
  <c r="N18" i="12" s="1"/>
  <c r="Q18" i="12" s="1"/>
  <c r="K22" i="12"/>
  <c r="N22" i="12" s="1"/>
  <c r="Q22" i="12" s="1"/>
  <c r="K26" i="12"/>
  <c r="N26" i="12" s="1"/>
  <c r="K30" i="12"/>
  <c r="N30" i="12" s="1"/>
  <c r="K34" i="12"/>
  <c r="N34" i="12" s="1"/>
  <c r="K38" i="12"/>
  <c r="N38" i="12" s="1"/>
  <c r="K42" i="12"/>
  <c r="N42" i="12" s="1"/>
  <c r="K37" i="12"/>
  <c r="N37" i="12" s="1"/>
  <c r="K41" i="12"/>
  <c r="N41" i="12" s="1"/>
  <c r="K8" i="12"/>
  <c r="N8" i="12" s="1"/>
  <c r="K12" i="12"/>
  <c r="N12" i="12" s="1"/>
  <c r="K16" i="12"/>
  <c r="N16" i="12" s="1"/>
  <c r="K20" i="12"/>
  <c r="N20" i="12" s="1"/>
  <c r="Q20" i="12" s="1"/>
  <c r="K24" i="12"/>
  <c r="N24" i="12" s="1"/>
  <c r="K9" i="12"/>
  <c r="N9" i="12" s="1"/>
  <c r="K13" i="12"/>
  <c r="N13" i="12" s="1"/>
  <c r="K17" i="12"/>
  <c r="N17" i="12" s="1"/>
  <c r="Q17" i="12" s="1"/>
  <c r="K21" i="12"/>
  <c r="N21" i="12" s="1"/>
  <c r="Q21" i="12" s="1"/>
  <c r="K25" i="12"/>
  <c r="N25" i="12" s="1"/>
  <c r="K29" i="12"/>
  <c r="N29" i="12" s="1"/>
  <c r="K33" i="12"/>
  <c r="N33" i="12" s="1"/>
  <c r="K36" i="12"/>
  <c r="N36" i="12" s="1"/>
  <c r="K32" i="12"/>
  <c r="N32" i="12" s="1"/>
  <c r="K28" i="12"/>
  <c r="N28" i="12" s="1"/>
  <c r="K40" i="12"/>
  <c r="N40" i="12" s="1"/>
  <c r="M7" i="12"/>
  <c r="M10" i="12"/>
  <c r="M14" i="12"/>
  <c r="P18" i="12"/>
  <c r="S18" i="12" s="1"/>
  <c r="C18" i="61" s="1"/>
  <c r="L18" i="61" s="1"/>
  <c r="F14" i="1" s="1"/>
  <c r="K14" i="1" s="1"/>
  <c r="M22" i="12"/>
  <c r="P22" i="12" s="1"/>
  <c r="S22" i="12" s="1"/>
  <c r="C22" i="61" s="1"/>
  <c r="L22" i="61" s="1"/>
  <c r="F18" i="1" s="1"/>
  <c r="M26" i="12"/>
  <c r="M30" i="12"/>
  <c r="M34" i="12"/>
  <c r="M38" i="12"/>
  <c r="M42" i="12"/>
  <c r="M8" i="12"/>
  <c r="M32" i="12"/>
  <c r="M36" i="12"/>
  <c r="M40" i="12"/>
  <c r="M9" i="12"/>
  <c r="M13" i="12"/>
  <c r="M17" i="12"/>
  <c r="P17" i="12" s="1"/>
  <c r="M21" i="12"/>
  <c r="P21" i="12" s="1"/>
  <c r="S21" i="12" s="1"/>
  <c r="C21" i="61" s="1"/>
  <c r="L21" i="61" s="1"/>
  <c r="F17" i="1" s="1"/>
  <c r="M25" i="12"/>
  <c r="M29" i="12"/>
  <c r="M33" i="12"/>
  <c r="M37" i="12"/>
  <c r="M41" i="12"/>
  <c r="M28" i="12"/>
  <c r="M11" i="12"/>
  <c r="M15" i="12"/>
  <c r="M19" i="12"/>
  <c r="P19" i="12" s="1"/>
  <c r="S19" i="12" s="1"/>
  <c r="C19" i="61" s="1"/>
  <c r="L19" i="61" s="1"/>
  <c r="F15" i="1" s="1"/>
  <c r="M23" i="12"/>
  <c r="M12" i="12"/>
  <c r="M16" i="12"/>
  <c r="M20" i="12"/>
  <c r="P20" i="12" s="1"/>
  <c r="M24" i="12"/>
  <c r="M31" i="12"/>
  <c r="M27" i="12"/>
  <c r="M43" i="12"/>
  <c r="M39" i="12"/>
  <c r="M35" i="12"/>
  <c r="S8" i="12"/>
  <c r="S12" i="12"/>
  <c r="S16" i="12"/>
  <c r="S20" i="12"/>
  <c r="C20" i="61" s="1"/>
  <c r="L20" i="61" s="1"/>
  <c r="F16" i="1" s="1"/>
  <c r="S9" i="12"/>
  <c r="S13" i="12"/>
  <c r="S10" i="12"/>
  <c r="S14" i="12"/>
  <c r="S11" i="12"/>
  <c r="S15" i="12"/>
  <c r="S17" i="12" l="1"/>
  <c r="C17" i="61" s="1"/>
  <c r="L17" i="61" s="1"/>
  <c r="F13" i="1" s="1"/>
  <c r="K13" i="1" s="1"/>
  <c r="M14" i="1"/>
  <c r="X14" i="1" s="1"/>
  <c r="O14" i="1"/>
  <c r="Y14" i="1" s="1"/>
  <c r="C28" i="1"/>
  <c r="C29" i="1"/>
  <c r="O13" i="1" l="1"/>
  <c r="Y13" i="1" s="1"/>
  <c r="M13" i="1"/>
  <c r="X13" i="1" s="1"/>
  <c r="C30" i="1" l="1"/>
  <c r="C31" i="1"/>
  <c r="C32" i="1" l="1"/>
  <c r="C33" i="1"/>
  <c r="C34" i="1" l="1"/>
  <c r="C35" i="1" l="1"/>
  <c r="C36" i="1" l="1"/>
  <c r="C37" i="1"/>
  <c r="I49" i="33" l="1"/>
  <c r="D44" i="1" s="1"/>
  <c r="C38" i="1"/>
  <c r="A17" i="1"/>
  <c r="W16" i="1"/>
  <c r="U16" i="1"/>
  <c r="N17" i="1" l="1"/>
  <c r="L17" i="1"/>
  <c r="E49" i="33"/>
  <c r="C39" i="1"/>
  <c r="V17" i="1"/>
  <c r="W17" i="1" s="1"/>
  <c r="T17" i="1"/>
  <c r="U17" i="1" s="1"/>
  <c r="A18" i="1"/>
  <c r="N18" i="1" l="1"/>
  <c r="L18" i="1"/>
  <c r="C44" i="1"/>
  <c r="V18" i="1"/>
  <c r="W18" i="1" s="1"/>
  <c r="T18" i="1"/>
  <c r="U18" i="1" s="1"/>
  <c r="A19" i="1"/>
  <c r="L19" i="1" l="1"/>
  <c r="N19" i="1"/>
  <c r="V19" i="1"/>
  <c r="T19" i="1"/>
  <c r="U19" i="1" s="1"/>
  <c r="W19" i="1"/>
  <c r="A20" i="1"/>
  <c r="L20" i="1" l="1"/>
  <c r="N20" i="1"/>
  <c r="V20" i="1"/>
  <c r="T20" i="1"/>
  <c r="U20" i="1" s="1"/>
  <c r="A21" i="1"/>
  <c r="W20" i="1"/>
  <c r="L21" i="1" l="1"/>
  <c r="N21" i="1"/>
  <c r="T21" i="1"/>
  <c r="V21" i="1"/>
  <c r="W21" i="1"/>
  <c r="U21" i="1"/>
  <c r="A22" i="1"/>
  <c r="N22" i="1" l="1"/>
  <c r="L22" i="1"/>
  <c r="T22" i="1"/>
  <c r="V22" i="1"/>
  <c r="U22" i="1"/>
  <c r="W22" i="1"/>
  <c r="A23" i="1"/>
  <c r="N23" i="1" l="1"/>
  <c r="L23" i="1"/>
  <c r="T23" i="1"/>
  <c r="V23" i="1"/>
  <c r="W23" i="1" s="1"/>
  <c r="U23" i="1"/>
  <c r="A24" i="1"/>
  <c r="N24" i="1" l="1"/>
  <c r="L24" i="1"/>
  <c r="T24" i="1"/>
  <c r="V24" i="1"/>
  <c r="W24" i="1" s="1"/>
  <c r="U24" i="1"/>
  <c r="A25" i="1"/>
  <c r="N25" i="1" l="1"/>
  <c r="L25" i="1"/>
  <c r="V25" i="1"/>
  <c r="T25" i="1"/>
  <c r="W25" i="1"/>
  <c r="U25" i="1"/>
  <c r="A26" i="1"/>
  <c r="N26" i="1" l="1"/>
  <c r="L26" i="1"/>
  <c r="V26" i="1"/>
  <c r="T26" i="1"/>
  <c r="U26" i="1" s="1"/>
  <c r="W26" i="1"/>
  <c r="A27" i="1"/>
  <c r="L27" i="1" l="1"/>
  <c r="N27" i="1"/>
  <c r="V27" i="1"/>
  <c r="T27" i="1"/>
  <c r="U27" i="1"/>
  <c r="W27" i="1"/>
  <c r="A28" i="1"/>
  <c r="L28" i="1" l="1"/>
  <c r="N28" i="1"/>
  <c r="V28" i="1"/>
  <c r="W28" i="1" s="1"/>
  <c r="T28" i="1"/>
  <c r="A29" i="1"/>
  <c r="L29" i="1" l="1"/>
  <c r="N29" i="1"/>
  <c r="T29" i="1"/>
  <c r="V29" i="1"/>
  <c r="W29" i="1" s="1"/>
  <c r="U28" i="1"/>
  <c r="U29" i="1"/>
  <c r="A30" i="1"/>
  <c r="N30" i="1" l="1"/>
  <c r="L30" i="1"/>
  <c r="T30" i="1"/>
  <c r="U30" i="1" s="1"/>
  <c r="V30" i="1"/>
  <c r="W30" i="1"/>
  <c r="A31" i="1"/>
  <c r="N31" i="1" l="1"/>
  <c r="L31" i="1"/>
  <c r="T31" i="1"/>
  <c r="U31" i="1" s="1"/>
  <c r="V31" i="1"/>
  <c r="W31" i="1"/>
  <c r="A32" i="1"/>
  <c r="N32" i="1" l="1"/>
  <c r="L32" i="1"/>
  <c r="T32" i="1"/>
  <c r="V32" i="1"/>
  <c r="W32" i="1" s="1"/>
  <c r="U32" i="1"/>
  <c r="A33" i="1"/>
  <c r="N33" i="1" l="1"/>
  <c r="L33" i="1"/>
  <c r="T33" i="1"/>
  <c r="V33" i="1"/>
  <c r="W33" i="1"/>
  <c r="U33" i="1"/>
  <c r="A34" i="1"/>
  <c r="N34" i="1" l="1"/>
  <c r="L34" i="1"/>
  <c r="V34" i="1"/>
  <c r="T34" i="1"/>
  <c r="U34" i="1"/>
  <c r="W34" i="1"/>
  <c r="A35" i="1"/>
  <c r="L35" i="1" l="1"/>
  <c r="N35" i="1"/>
  <c r="V35" i="1"/>
  <c r="T35" i="1"/>
  <c r="A36" i="1"/>
  <c r="U35" i="1"/>
  <c r="W35" i="1"/>
  <c r="L36" i="1" l="1"/>
  <c r="N36" i="1"/>
  <c r="V36" i="1"/>
  <c r="T36" i="1"/>
  <c r="W36" i="1"/>
  <c r="U36" i="1"/>
  <c r="A37" i="1"/>
  <c r="L37" i="1" l="1"/>
  <c r="N37" i="1"/>
  <c r="V37" i="1"/>
  <c r="T37" i="1"/>
  <c r="A38" i="1"/>
  <c r="W37" i="1"/>
  <c r="U37" i="1"/>
  <c r="N38" i="1" l="1"/>
  <c r="V38" i="1"/>
  <c r="L38" i="1"/>
  <c r="T38" i="1"/>
  <c r="W38" i="1"/>
  <c r="A39" i="1"/>
  <c r="U38" i="1"/>
  <c r="T39" i="1" l="1"/>
  <c r="N39" i="1"/>
  <c r="V39" i="1"/>
  <c r="L39" i="1"/>
  <c r="A40" i="1"/>
  <c r="W39" i="1"/>
  <c r="U39" i="1"/>
  <c r="A41" i="1" l="1"/>
  <c r="T40" i="1"/>
  <c r="U40" i="1" s="1"/>
  <c r="N40" i="1"/>
  <c r="L40" i="1"/>
  <c r="V40" i="1"/>
  <c r="W40" i="1" s="1"/>
  <c r="A42" i="1" l="1"/>
  <c r="V41" i="1"/>
  <c r="W41" i="1" s="1"/>
  <c r="T41" i="1"/>
  <c r="U41" i="1" s="1"/>
  <c r="N41" i="1"/>
  <c r="L41" i="1"/>
  <c r="H44" i="1"/>
  <c r="A43" i="1" l="1"/>
  <c r="T42" i="1"/>
  <c r="U42" i="1" s="1"/>
  <c r="N42" i="1"/>
  <c r="V42" i="1"/>
  <c r="W42" i="1" s="1"/>
  <c r="L42" i="1"/>
  <c r="Q23" i="12"/>
  <c r="L43" i="1" l="1"/>
  <c r="T43" i="1"/>
  <c r="U43" i="1" s="1"/>
  <c r="U44" i="1" s="1"/>
  <c r="N43" i="1"/>
  <c r="V43" i="1"/>
  <c r="W43" i="1" s="1"/>
  <c r="W44" i="1" s="1"/>
  <c r="Q24" i="12"/>
  <c r="Q25" i="12" l="1"/>
  <c r="P23" i="12"/>
  <c r="S23" i="12" s="1"/>
  <c r="C23" i="61" s="1"/>
  <c r="L23" i="61" s="1"/>
  <c r="F19" i="1" l="1"/>
  <c r="Q26" i="12"/>
  <c r="P24" i="12"/>
  <c r="S24" i="12" l="1"/>
  <c r="C24" i="61" s="1"/>
  <c r="L24" i="61" s="1"/>
  <c r="Q27" i="12"/>
  <c r="P25" i="12"/>
  <c r="F20" i="1" l="1"/>
  <c r="K15" i="1"/>
  <c r="S25" i="12"/>
  <c r="C25" i="61" s="1"/>
  <c r="L25" i="61" s="1"/>
  <c r="Q28" i="12"/>
  <c r="P26" i="12"/>
  <c r="F21" i="1" l="1"/>
  <c r="K16" i="1"/>
  <c r="S26" i="12"/>
  <c r="C26" i="61" s="1"/>
  <c r="L26" i="61" s="1"/>
  <c r="Q29" i="12"/>
  <c r="P27" i="12"/>
  <c r="F22" i="1" l="1"/>
  <c r="K22" i="1" s="1"/>
  <c r="M15" i="1"/>
  <c r="X15" i="1" s="1"/>
  <c r="O15" i="1"/>
  <c r="Y15" i="1" s="1"/>
  <c r="K17" i="1"/>
  <c r="S27" i="12"/>
  <c r="C27" i="61" s="1"/>
  <c r="L27" i="61" s="1"/>
  <c r="Q30" i="12"/>
  <c r="P28" i="12"/>
  <c r="M22" i="1" l="1"/>
  <c r="X22" i="1" s="1"/>
  <c r="O22" i="1"/>
  <c r="Y22" i="1" s="1"/>
  <c r="F23" i="1"/>
  <c r="K23" i="1" s="1"/>
  <c r="M16" i="1"/>
  <c r="X16" i="1" s="1"/>
  <c r="O16" i="1"/>
  <c r="Y16" i="1" s="1"/>
  <c r="K18" i="1"/>
  <c r="S28" i="12"/>
  <c r="C28" i="61" s="1"/>
  <c r="L28" i="61" s="1"/>
  <c r="Q31" i="12"/>
  <c r="P29" i="12"/>
  <c r="O23" i="1" l="1"/>
  <c r="Y23" i="1" s="1"/>
  <c r="M23" i="1"/>
  <c r="F24" i="1"/>
  <c r="K24" i="1" s="1"/>
  <c r="M17" i="1"/>
  <c r="X17" i="1" s="1"/>
  <c r="O17" i="1"/>
  <c r="Y17" i="1" s="1"/>
  <c r="K19" i="1"/>
  <c r="S29" i="12"/>
  <c r="C29" i="61" s="1"/>
  <c r="L29" i="61" s="1"/>
  <c r="Q32" i="12"/>
  <c r="P30" i="12"/>
  <c r="S30" i="12" s="1"/>
  <c r="C30" i="61" s="1"/>
  <c r="L30" i="61" s="1"/>
  <c r="X23" i="1" l="1"/>
  <c r="O24" i="1"/>
  <c r="Y24" i="1" s="1"/>
  <c r="M24" i="1"/>
  <c r="X24" i="1" s="1"/>
  <c r="F26" i="1"/>
  <c r="K26" i="1" s="1"/>
  <c r="O26" i="1" s="1"/>
  <c r="Y26" i="1" s="1"/>
  <c r="F25" i="1"/>
  <c r="K25" i="1" s="1"/>
  <c r="M18" i="1"/>
  <c r="X18" i="1" s="1"/>
  <c r="O18" i="1"/>
  <c r="Y18" i="1" s="1"/>
  <c r="K20" i="1"/>
  <c r="Q33" i="12"/>
  <c r="P31" i="12"/>
  <c r="S31" i="12" s="1"/>
  <c r="C31" i="61" s="1"/>
  <c r="L31" i="61" s="1"/>
  <c r="F27" i="1" l="1"/>
  <c r="K27" i="1" s="1"/>
  <c r="O25" i="1"/>
  <c r="Y25" i="1" s="1"/>
  <c r="M25" i="1"/>
  <c r="X25" i="1" s="1"/>
  <c r="M26" i="1"/>
  <c r="X26" i="1" s="1"/>
  <c r="M19" i="1"/>
  <c r="X19" i="1" s="1"/>
  <c r="O19" i="1"/>
  <c r="Y19" i="1" s="1"/>
  <c r="K21" i="1"/>
  <c r="Q34" i="12"/>
  <c r="P32" i="12"/>
  <c r="S32" i="12" s="1"/>
  <c r="C32" i="61" s="1"/>
  <c r="L32" i="61" s="1"/>
  <c r="F28" i="1" l="1"/>
  <c r="K28" i="1" s="1"/>
  <c r="O27" i="1"/>
  <c r="Y27" i="1" s="1"/>
  <c r="M27" i="1"/>
  <c r="X27" i="1" s="1"/>
  <c r="M20" i="1"/>
  <c r="X20" i="1" s="1"/>
  <c r="O20" i="1"/>
  <c r="Y20" i="1" s="1"/>
  <c r="O21" i="1"/>
  <c r="Y21" i="1" s="1"/>
  <c r="M21" i="1"/>
  <c r="X21" i="1" s="1"/>
  <c r="Q35" i="12"/>
  <c r="P33" i="12"/>
  <c r="S33" i="12" s="1"/>
  <c r="C33" i="61" s="1"/>
  <c r="L33" i="61" s="1"/>
  <c r="F29" i="1" l="1"/>
  <c r="K29" i="1" s="1"/>
  <c r="M28" i="1"/>
  <c r="X28" i="1" s="1"/>
  <c r="O28" i="1"/>
  <c r="Y28" i="1" s="1"/>
  <c r="Q36" i="12"/>
  <c r="P34" i="12"/>
  <c r="S34" i="12" s="1"/>
  <c r="C34" i="61" s="1"/>
  <c r="L34" i="61" s="1"/>
  <c r="F30" i="1" l="1"/>
  <c r="K30" i="1" s="1"/>
  <c r="O29" i="1"/>
  <c r="Y29" i="1" s="1"/>
  <c r="M29" i="1"/>
  <c r="X29" i="1" s="1"/>
  <c r="Q37" i="12"/>
  <c r="P35" i="12"/>
  <c r="M30" i="1" l="1"/>
  <c r="X30" i="1" s="1"/>
  <c r="O30" i="1"/>
  <c r="Y30" i="1" s="1"/>
  <c r="S35" i="12"/>
  <c r="C35" i="61" s="1"/>
  <c r="L35" i="61" s="1"/>
  <c r="Q38" i="12"/>
  <c r="P36" i="12"/>
  <c r="F31" i="1" l="1"/>
  <c r="K31" i="1" s="1"/>
  <c r="S36" i="12"/>
  <c r="C36" i="61" s="1"/>
  <c r="L36" i="61" s="1"/>
  <c r="Q39" i="12"/>
  <c r="P37" i="12"/>
  <c r="F32" i="1" l="1"/>
  <c r="K32" i="1" s="1"/>
  <c r="M31" i="1"/>
  <c r="X31" i="1" s="1"/>
  <c r="O31" i="1"/>
  <c r="Y31" i="1" s="1"/>
  <c r="S37" i="12"/>
  <c r="C37" i="61" s="1"/>
  <c r="L37" i="61" s="1"/>
  <c r="Q40" i="12"/>
  <c r="P38" i="12"/>
  <c r="F33" i="1" l="1"/>
  <c r="K33" i="1" s="1"/>
  <c r="M32" i="1"/>
  <c r="X32" i="1" s="1"/>
  <c r="O32" i="1"/>
  <c r="Y32" i="1" s="1"/>
  <c r="S38" i="12"/>
  <c r="C38" i="61" s="1"/>
  <c r="L38" i="61" s="1"/>
  <c r="Q41" i="12"/>
  <c r="P39" i="12"/>
  <c r="F34" i="1" l="1"/>
  <c r="K34" i="1" s="1"/>
  <c r="O33" i="1"/>
  <c r="Y33" i="1" s="1"/>
  <c r="M33" i="1"/>
  <c r="S39" i="12"/>
  <c r="C39" i="61" s="1"/>
  <c r="L39" i="61" s="1"/>
  <c r="Q42" i="12"/>
  <c r="P40" i="12"/>
  <c r="X33" i="1" l="1"/>
  <c r="M34" i="1"/>
  <c r="X34" i="1" s="1"/>
  <c r="O34" i="1"/>
  <c r="Y34" i="1" s="1"/>
  <c r="F35" i="1"/>
  <c r="K35" i="1" s="1"/>
  <c r="S40" i="12"/>
  <c r="Q43" i="12"/>
  <c r="P41" i="12"/>
  <c r="C40" i="61" l="1"/>
  <c r="L40" i="61" s="1"/>
  <c r="F36" i="1" s="1"/>
  <c r="K36" i="1" s="1"/>
  <c r="O35" i="1"/>
  <c r="Y35" i="1" s="1"/>
  <c r="M35" i="1"/>
  <c r="X35" i="1" s="1"/>
  <c r="S41" i="12"/>
  <c r="P42" i="12"/>
  <c r="O36" i="1" l="1"/>
  <c r="Y36" i="1" s="1"/>
  <c r="M36" i="1"/>
  <c r="X36" i="1" s="1"/>
  <c r="C41" i="61"/>
  <c r="L41" i="61" s="1"/>
  <c r="F37" i="1" s="1"/>
  <c r="K37" i="1" s="1"/>
  <c r="K41" i="1"/>
  <c r="S42" i="12"/>
  <c r="C42" i="61" s="1"/>
  <c r="L42" i="61" s="1"/>
  <c r="P43" i="12"/>
  <c r="S43" i="12" s="1"/>
  <c r="M37" i="1" l="1"/>
  <c r="X37" i="1" s="1"/>
  <c r="O37" i="1"/>
  <c r="Y37" i="1" s="1"/>
  <c r="C43" i="61"/>
  <c r="L43" i="61" s="1"/>
  <c r="L48" i="61" s="1"/>
  <c r="F38" i="1"/>
  <c r="K38" i="1" s="1"/>
  <c r="M41" i="1"/>
  <c r="O41" i="1"/>
  <c r="Y41" i="1" s="1"/>
  <c r="K43" i="1"/>
  <c r="M43" i="1" s="1"/>
  <c r="X43" i="1" s="1"/>
  <c r="S48" i="12"/>
  <c r="F39" i="1" l="1"/>
  <c r="K39" i="1" s="1"/>
  <c r="X41" i="1"/>
  <c r="O38" i="1"/>
  <c r="Y38" i="1" s="1"/>
  <c r="M38" i="1"/>
  <c r="X38" i="1" s="1"/>
  <c r="F40" i="1"/>
  <c r="F42" i="1"/>
  <c r="K42" i="1" s="1"/>
  <c r="O42" i="1" s="1"/>
  <c r="Y42" i="1" s="1"/>
  <c r="O43" i="1"/>
  <c r="Y43" i="1" s="1"/>
  <c r="O39" i="1" l="1"/>
  <c r="Y39" i="1" s="1"/>
  <c r="M39" i="1"/>
  <c r="X39" i="1" s="1"/>
  <c r="M42" i="1"/>
  <c r="X42" i="1" s="1"/>
  <c r="K40" i="1"/>
  <c r="F44" i="1"/>
  <c r="O40" i="1" l="1"/>
  <c r="M40" i="1"/>
  <c r="M44" i="1" s="1"/>
  <c r="K44" i="1"/>
  <c r="R53" i="1" s="1"/>
  <c r="X40" i="1" l="1"/>
  <c r="X44" i="1" s="1"/>
  <c r="R54" i="1"/>
  <c r="Y40" i="1"/>
  <c r="Y44" i="1" s="1"/>
  <c r="O44" i="1"/>
  <c r="R55" i="1" s="1"/>
</calcChain>
</file>

<file path=xl/sharedStrings.xml><?xml version="1.0" encoding="utf-8"?>
<sst xmlns="http://schemas.openxmlformats.org/spreadsheetml/2006/main" count="838" uniqueCount="344">
  <si>
    <t>Calendar Year</t>
  </si>
  <si>
    <t>Project Year</t>
  </si>
  <si>
    <t>Notes</t>
  </si>
  <si>
    <t>Totals</t>
  </si>
  <si>
    <t>Year</t>
  </si>
  <si>
    <t xml:space="preserve">Type </t>
  </si>
  <si>
    <t>PDO</t>
  </si>
  <si>
    <t>Injury</t>
  </si>
  <si>
    <t>Value of Life Crash Cost by Type</t>
  </si>
  <si>
    <t>Fatal</t>
  </si>
  <si>
    <t>Total</t>
  </si>
  <si>
    <t>Average per year</t>
  </si>
  <si>
    <t>PDO Crashes</t>
  </si>
  <si>
    <t>Injury Crashes</t>
  </si>
  <si>
    <t>Fatal Crashes)</t>
  </si>
  <si>
    <t>Benefits</t>
  </si>
  <si>
    <t>Costs</t>
  </si>
  <si>
    <t xml:space="preserve">Personal </t>
  </si>
  <si>
    <t>Business</t>
  </si>
  <si>
    <t>Personal</t>
  </si>
  <si>
    <t>7% Rate</t>
  </si>
  <si>
    <t>3% Rate</t>
  </si>
  <si>
    <r>
      <t>Project Year</t>
    </r>
    <r>
      <rPr>
        <vertAlign val="superscript"/>
        <sz val="11"/>
        <color theme="1"/>
        <rFont val="Calibri"/>
        <family val="2"/>
        <scheme val="minor"/>
      </rPr>
      <t>1</t>
    </r>
  </si>
  <si>
    <t>Real Dollars</t>
  </si>
  <si>
    <t>7% Discount Rate</t>
  </si>
  <si>
    <t>3% Discount Rate</t>
  </si>
  <si>
    <t>Base Year</t>
  </si>
  <si>
    <r>
      <t>Multiplier to Adjust to Real $2017</t>
    </r>
    <r>
      <rPr>
        <vertAlign val="superscript"/>
        <sz val="11"/>
        <color theme="1"/>
        <rFont val="Calibri"/>
        <family val="2"/>
        <scheme val="minor"/>
      </rPr>
      <t>1</t>
    </r>
  </si>
  <si>
    <t>Cost ($2017)</t>
  </si>
  <si>
    <t>Benefit Cost Ratio</t>
  </si>
  <si>
    <t>Implicit Price Deflators for Gross Domestic Product</t>
  </si>
  <si>
    <t xml:space="preserve">Total </t>
  </si>
  <si>
    <t>2035 No-Build</t>
  </si>
  <si>
    <t>Source: New Hampshire Department of Transportation</t>
  </si>
  <si>
    <t>Fatal Crashes</t>
  </si>
  <si>
    <t>Eliminating Weave Movement</t>
  </si>
  <si>
    <t>(1)</t>
  </si>
  <si>
    <t>(2)</t>
  </si>
  <si>
    <t>(3)</t>
  </si>
  <si>
    <t>Description</t>
  </si>
  <si>
    <t>Travel Time (min)</t>
  </si>
  <si>
    <t>Exit 13 SB On-Ramp</t>
  </si>
  <si>
    <t>Mainline between Exit 13 and Exit 12</t>
  </si>
  <si>
    <t>Exit 12 SB Off-Ramp to Rte 3A SB</t>
  </si>
  <si>
    <t>Mainline between Exit 12 Off/On-Ramps</t>
  </si>
  <si>
    <t>Mainline between Exit 12 On-Ramp and I-93 Off-Ramp to I-89 NB</t>
  </si>
  <si>
    <t>Mainline between I-93 Off/On-Ramps from I-89</t>
  </si>
  <si>
    <t>I-93 On-Ramp from I-89 SB</t>
  </si>
  <si>
    <t>Mainline South of I-89 SB On-Ramp</t>
  </si>
  <si>
    <t>Mainline between Exit 12 and Exit 13</t>
  </si>
  <si>
    <t>Exit 12 NB On-Ramp</t>
  </si>
  <si>
    <t>Exit 12 NB Off-Ramp to Rte 3A NB</t>
  </si>
  <si>
    <t>Exit 12 NB Off-Ramp to Rte 3A SB</t>
  </si>
  <si>
    <t>I-89 SB On-Ramp to I-93 NB</t>
  </si>
  <si>
    <t>Mainline between Off/On Ramps to I-89</t>
  </si>
  <si>
    <t>Mainline South of I-89 NB Off-Ramp</t>
  </si>
  <si>
    <t>I-93 NORTHBOUND</t>
  </si>
  <si>
    <t>I-93 SOUTHBOUND</t>
  </si>
  <si>
    <t>Volume (vph)</t>
  </si>
  <si>
    <t>2014 No-Build</t>
  </si>
  <si>
    <t>Mainline Between Exit 13 and Exit 12</t>
  </si>
  <si>
    <t xml:space="preserve">Exit 12 SB Off-Ramp </t>
  </si>
  <si>
    <t>Mainline between Exit 12 SB Off/On-Ramps</t>
  </si>
  <si>
    <t>Exit 12 SB On-Ramp to I-93 SB Off-Ramp to I-89 NB Weave</t>
  </si>
  <si>
    <t xml:space="preserve">Exit 12 NB Off-Ramp </t>
  </si>
  <si>
    <t>I-93 NB On-Ramp from I-89 SB</t>
  </si>
  <si>
    <t>Delay Per Segment (Veh-Hrs)</t>
  </si>
  <si>
    <t xml:space="preserve">Total Delay of Vehicles During AM Peak Hour Through Corridor in Both Directions (2035 No-Build) (Vehicle Hours) = </t>
  </si>
  <si>
    <t>CD ROAD</t>
  </si>
  <si>
    <t>2035 Build</t>
  </si>
  <si>
    <t xml:space="preserve">Total Delay of Vehicles During AM Peak Hour Through Corridor in Both Directions (2035 Build) (Vehicle Hours) = </t>
  </si>
  <si>
    <t>DETERMINE REDUCTION IN TRAVEL TIME THROUGH CORRIDOR DURING THE AM PEAK HOUR</t>
  </si>
  <si>
    <t xml:space="preserve">Total Savings (Vehicle Hours) = </t>
  </si>
  <si>
    <t>DETERMINE REDUCTION IN TRAVEL TIME THROUGH CORRIDOR DURING THE PM PEAK HOUR</t>
  </si>
  <si>
    <t xml:space="preserve">Total Travel Time of Vehicles During AM Peak Hour Through Corridor in Both Directions (2035 No-Build) (Vehicle Hours) = </t>
  </si>
  <si>
    <t xml:space="preserve">Total Travel Time of Vehicles During AM Peak Hour Through Corridor in Both Directions (2035 Build) (Vehicle Hours) = </t>
  </si>
  <si>
    <t>DETERMINE VALUE OF BENEFIT OF LESS TRAVEL TIME THROUGH CORRIDOR</t>
  </si>
  <si>
    <t xml:space="preserve">TRAVEL TIME SAVINGS = </t>
  </si>
  <si>
    <t>VEHICLE HOURS DURING AM PEAK PER BUSINESS DAY</t>
  </si>
  <si>
    <t xml:space="preserve">TOTAL TRAVEL TIME SAVINGS = </t>
  </si>
  <si>
    <t>VEHICLE HOURS DURING PM PEAK PER BUSINESS DAY</t>
  </si>
  <si>
    <t>VEHICLE HOURS PER BUSINESS DAY</t>
  </si>
  <si>
    <t>(ASSUMES NO TRAVEL TIME SAVINGS DURING NON-PEAK HOURS AND WEEKENDS)</t>
  </si>
  <si>
    <t>BUSINESS DAYS PER WEEK</t>
  </si>
  <si>
    <t>WORK WEEKS A YEAR</t>
  </si>
  <si>
    <t>BUSINESS DAYS PER YEAR</t>
  </si>
  <si>
    <t xml:space="preserve">TOTAL TRAVEL TIMES SAVINGS = </t>
  </si>
  <si>
    <t>VEHICLE HOURS PER YEAR</t>
  </si>
  <si>
    <t>VEHICLE HOURS PER BUSINESS DAY x BUSINESS DAYS PER YEAR</t>
  </si>
  <si>
    <t>Private Vehicle</t>
  </si>
  <si>
    <t>Truck Driver</t>
  </si>
  <si>
    <t>Commercial Vehicle</t>
  </si>
  <si>
    <t>Passenger Vehicle</t>
  </si>
  <si>
    <t>Trucks</t>
  </si>
  <si>
    <t>Assuming</t>
  </si>
  <si>
    <t>Trucks (Per Table 3.1 of Environmental Assessment</t>
  </si>
  <si>
    <t>Passenger Vehicles</t>
  </si>
  <si>
    <t xml:space="preserve">Weighted Cost of Truck = </t>
  </si>
  <si>
    <t>% Trucks x Truck Driver Rate x Vehicle Occupancy</t>
  </si>
  <si>
    <t xml:space="preserve">= </t>
  </si>
  <si>
    <t>Business Passenger Vehicles</t>
  </si>
  <si>
    <t>Personal Passenger Vehicles</t>
  </si>
  <si>
    <t xml:space="preserve">Weighted Cost of Business Passenger Vehicle = </t>
  </si>
  <si>
    <t xml:space="preserve">Weighted Cost of Personal Passenger Vehicle = </t>
  </si>
  <si>
    <t>% Business Passenger Vehicle x Business Passenger Vehicle Rate x Vehicle Occupancy</t>
  </si>
  <si>
    <t>% Personal Passenger Vehicle x Personal Passenger Vehicle Rate x Vehicle Occupancy</t>
  </si>
  <si>
    <t xml:space="preserve">Total Weighted Averages per Vehicle = </t>
  </si>
  <si>
    <t>Weighted Cost of Truck + Weighted Cost of Business Passenger Vehicle + Weighted Cost of Personal Passenger Vehicle</t>
  </si>
  <si>
    <t xml:space="preserve">TOTAL SAVINGS OF TRAVEL TIME COSTS PER YEAR = </t>
  </si>
  <si>
    <t>Based on 2035 Traffic Volume Projections</t>
  </si>
  <si>
    <t>&lt;-----------</t>
  </si>
  <si>
    <t>Assumptions</t>
  </si>
  <si>
    <t xml:space="preserve">Traffic Growth = </t>
  </si>
  <si>
    <t>Per Year</t>
  </si>
  <si>
    <t>Average Annual Traffic (Compared to 2035)</t>
  </si>
  <si>
    <t>Value of Travel Time</t>
  </si>
  <si>
    <t>Crashes will increase at same rate as traffic</t>
  </si>
  <si>
    <t>% increase in traffic volume (Compared to 2017 Volumes)</t>
  </si>
  <si>
    <t>Expected Crashes per year based on % increase in traffic volume per year (No-Build)</t>
  </si>
  <si>
    <t>Expected Crashes per year (Build) Using CMF</t>
  </si>
  <si>
    <t>Expected reduction in crashes per year</t>
  </si>
  <si>
    <t>INTERSTATE 89 WEAVING AREA BETWEEN EXIT 1 AND INTERSTATE 93 RAMPS</t>
  </si>
  <si>
    <t>Value of Fuel Savings</t>
  </si>
  <si>
    <t>AM Peak Hour</t>
  </si>
  <si>
    <t>PM Peak Hour</t>
  </si>
  <si>
    <t>Reduction</t>
  </si>
  <si>
    <t>Percent Reduction</t>
  </si>
  <si>
    <t>No Build</t>
  </si>
  <si>
    <t>Scenario D</t>
  </si>
  <si>
    <t>AM</t>
  </si>
  <si>
    <t>PM</t>
  </si>
  <si>
    <t>VHT (hours)</t>
  </si>
  <si>
    <t>VMT (miles)</t>
  </si>
  <si>
    <t>Southbound</t>
  </si>
  <si>
    <t>Northbound</t>
  </si>
  <si>
    <t>Fuel Use (gallons)</t>
  </si>
  <si>
    <t>Gas</t>
  </si>
  <si>
    <t>Diesel</t>
  </si>
  <si>
    <t>Fuel Cost (dollars)</t>
  </si>
  <si>
    <t>Total Fuel Cost Savings Per Day = Fuel Cost Reductions in the AM &amp; PM Peak Hours for both Gas and Diesel</t>
  </si>
  <si>
    <t xml:space="preserve">Total Fuel Cost Savings Per Day = </t>
  </si>
  <si>
    <t>+</t>
  </si>
  <si>
    <t>Total Fuel Cost Savings Per Year</t>
  </si>
  <si>
    <t>Total Fuel Cost Savings Per Day x Business Days Per Year</t>
  </si>
  <si>
    <t>Estimated Cost of Bridges (New or Replaced Bridges - No Rehab Bridges)</t>
  </si>
  <si>
    <t>I-89 Area</t>
  </si>
  <si>
    <t>Local Road</t>
  </si>
  <si>
    <t>Ramp C</t>
  </si>
  <si>
    <t>I-89 Over South St</t>
  </si>
  <si>
    <t>I-89 (Ramp H) over Turkey River</t>
  </si>
  <si>
    <t>I-89 (Ramp D) over Turkey River</t>
  </si>
  <si>
    <t>Exit 12 Area</t>
  </si>
  <si>
    <t>I-93 NB over PAR</t>
  </si>
  <si>
    <t>I-93 SB over PAR</t>
  </si>
  <si>
    <t>Exit 13 Area</t>
  </si>
  <si>
    <t>I-93 NB over Hall St</t>
  </si>
  <si>
    <t>I-93 SB over Hall St</t>
  </si>
  <si>
    <t>US 3 over Merrimack River (Slip Ramp)</t>
  </si>
  <si>
    <t xml:space="preserve">Service Life of Bridges = </t>
  </si>
  <si>
    <t>I-89 Exit 1 Weaves</t>
  </si>
  <si>
    <t>I-89 CD Road Weave</t>
  </si>
  <si>
    <t>Total Crash Reduction Benefit</t>
  </si>
  <si>
    <t>WEAVING ON CD RAMP AT I-93 AND I89 INTERCHANGE</t>
  </si>
  <si>
    <t>INTERSTATE 93 WEAVING AREA BETWEEN INTERSTATE 89 INTERCHANGE AND EXIT 12</t>
  </si>
  <si>
    <t>I-93 Weave Between I-89 and Exit 12</t>
  </si>
  <si>
    <t>I-93 Weave Between Exit 12 and Exit 13</t>
  </si>
  <si>
    <t>INTERSTATE 93 WEAVING AREA BETWEEN EXIT 12 AND EXIT 13</t>
  </si>
  <si>
    <t>LOUDON ROAD LANE WIDTH ADJUSTMENTS</t>
  </si>
  <si>
    <t>Exit 12 Roundabouts</t>
  </si>
  <si>
    <t>DETERMINE COSTS FOR ADDITIONAL MAINTENANCE</t>
  </si>
  <si>
    <t xml:space="preserve">DETERMINE COST OF FUTURE OVERLAY </t>
  </si>
  <si>
    <t>USE ONLY EXPANDED AREA OF PAVEMENT AS ORIGINAL AREA OF PAVEMENT WOULD HAVE NEEDED AN OVERLAY REGARDLESS OF PROJECT</t>
  </si>
  <si>
    <t xml:space="preserve">AREA OF EXPANDED PAVEMENT = </t>
  </si>
  <si>
    <t>ACRES OF PAVEMENT</t>
  </si>
  <si>
    <t>(FROM STORMWATER SUMMARY)</t>
  </si>
  <si>
    <t>SQ. FT</t>
  </si>
  <si>
    <t>ASSUMPTIONS</t>
  </si>
  <si>
    <t>INCH OVERLAY</t>
  </si>
  <si>
    <t>LB / CF OF PAVEMENT</t>
  </si>
  <si>
    <t>PER TON</t>
  </si>
  <si>
    <t xml:space="preserve">COST OF PAVEMENT ONLY = </t>
  </si>
  <si>
    <t>TONS</t>
  </si>
  <si>
    <t xml:space="preserve">QUANTITY OF PAVEMENT ONLY = </t>
  </si>
  <si>
    <t>USING BEDFORD 41174 AS GO-BY</t>
  </si>
  <si>
    <t xml:space="preserve">TOTAL CONTRACT COST = </t>
  </si>
  <si>
    <t xml:space="preserve">PAVEMENT TO TOTAL RATIO = </t>
  </si>
  <si>
    <t>USING CANTERBURY NORTHFIELD 41057 AS GO-BY</t>
  </si>
  <si>
    <t xml:space="preserve">AVERAGE PAVEMENT TO TOTAL RATIO = </t>
  </si>
  <si>
    <t xml:space="preserve">COST OF BOW-CONCORD USING RATIO = </t>
  </si>
  <si>
    <t xml:space="preserve">USE = </t>
  </si>
  <si>
    <t>1. Table A-7 - Inflation Adjustment Values - USDOT Benefit-Cost Analysis Guidance for Discretionary Grant Programs</t>
  </si>
  <si>
    <r>
      <t xml:space="preserve">PDO </t>
    </r>
    <r>
      <rPr>
        <vertAlign val="superscript"/>
        <sz val="11"/>
        <color theme="1"/>
        <rFont val="Calibri"/>
        <family val="2"/>
        <scheme val="minor"/>
      </rPr>
      <t>1</t>
    </r>
  </si>
  <si>
    <r>
      <t xml:space="preserve">Injury </t>
    </r>
    <r>
      <rPr>
        <vertAlign val="superscript"/>
        <sz val="11"/>
        <color theme="1"/>
        <rFont val="Calibri"/>
        <family val="2"/>
        <scheme val="minor"/>
      </rPr>
      <t>2</t>
    </r>
  </si>
  <si>
    <r>
      <t xml:space="preserve">Fatality </t>
    </r>
    <r>
      <rPr>
        <vertAlign val="superscript"/>
        <sz val="11"/>
        <color theme="1"/>
        <rFont val="Calibri"/>
        <family val="2"/>
        <scheme val="minor"/>
      </rPr>
      <t>3</t>
    </r>
  </si>
  <si>
    <t>Sources:</t>
  </si>
  <si>
    <t>Table A-2 - Property Damage Only (PDO) Crashes</t>
  </si>
  <si>
    <t>Sources: USDOT Benefit-Cost Analysis Guidance for Discretionary Grant Programs</t>
  </si>
  <si>
    <t>Table A-1 - Value of Reduced Fatalities and Injuries (MAIS 2 - Moderate)</t>
  </si>
  <si>
    <t>Table A-1 - Value of Reduced Fatalities and Injuries (Fatal)</t>
  </si>
  <si>
    <r>
      <t>Observed Crashes (2007-2016)</t>
    </r>
    <r>
      <rPr>
        <vertAlign val="superscript"/>
        <sz val="11"/>
        <color theme="1"/>
        <rFont val="Calibri"/>
        <family val="2"/>
        <scheme val="minor"/>
      </rPr>
      <t>4</t>
    </r>
  </si>
  <si>
    <t>(4)</t>
  </si>
  <si>
    <r>
      <t>Crash Modification Factor</t>
    </r>
    <r>
      <rPr>
        <vertAlign val="superscript"/>
        <sz val="11"/>
        <color theme="1"/>
        <rFont val="Calibri"/>
        <family val="2"/>
        <scheme val="minor"/>
      </rPr>
      <t>5</t>
    </r>
  </si>
  <si>
    <t>5. There is no CMF for eliminating a weave, but the reduction in crashes would be expected to be greater than the 20% for providing an auxiliary lane.</t>
  </si>
  <si>
    <t>5. Use a CMF of 0.75 for installing roundabouts at ramp terminal intersections</t>
  </si>
  <si>
    <t>Category</t>
  </si>
  <si>
    <r>
      <t xml:space="preserve">Recommended Hourly Values of Travel Time Savings (Per Person-Hour) </t>
    </r>
    <r>
      <rPr>
        <vertAlign val="superscript"/>
        <sz val="11"/>
        <color theme="1"/>
        <rFont val="Calibri"/>
        <family val="2"/>
        <scheme val="minor"/>
      </rPr>
      <t>1</t>
    </r>
  </si>
  <si>
    <t>Table A-3 - Value of Travel Time Savings - USDOT Benefit-Cost Analysis Guidance for Discretionary Grant Programs</t>
  </si>
  <si>
    <r>
      <t xml:space="preserve">Estimated Percentage of Personal and Business Travel </t>
    </r>
    <r>
      <rPr>
        <vertAlign val="superscript"/>
        <sz val="11"/>
        <color theme="1"/>
        <rFont val="Calibri"/>
        <family val="2"/>
        <scheme val="minor"/>
      </rPr>
      <t>2</t>
    </r>
  </si>
  <si>
    <t>Table A-3 - Value of Travel Time Savings - USDOT Benefit-Cost Analysis Guidance for Discretionary Grant Programs, Note 4</t>
  </si>
  <si>
    <r>
      <t xml:space="preserve">Average Vehicle Occupancy </t>
    </r>
    <r>
      <rPr>
        <vertAlign val="superscript"/>
        <sz val="11"/>
        <color theme="1"/>
        <rFont val="Calibri"/>
        <family val="2"/>
        <scheme val="minor"/>
      </rPr>
      <t>3</t>
    </r>
  </si>
  <si>
    <t>Table A-4 - Average Vehicle Occupancy - USDOT Benefit-Cost Analysis Guidance for Discretionary Grant Programs</t>
  </si>
  <si>
    <t>Net Present Value AT 7%</t>
  </si>
  <si>
    <t>Net Present Value AT 3%</t>
  </si>
  <si>
    <t>2. Bridge Maintenance cost assumed to be yearly cleaning.  Additional work such as membrane  and deck replacement would occur outside the scope of this BCA timeline</t>
  </si>
  <si>
    <t>BOW-CONCORD 13742</t>
  </si>
  <si>
    <t>BENEFIT-COST ANALYSIS</t>
  </si>
  <si>
    <t>DETERMINE COSTS SAVED FOR AVOIDED MAINTENANCE</t>
  </si>
  <si>
    <t>DETERMINE COST OF FUTURE OVERLAY OF EXISTING PAVEMENT AREA</t>
  </si>
  <si>
    <t xml:space="preserve">AREA OF EXISTING PAVEMENT = </t>
  </si>
  <si>
    <t>DETERMINE VALUE OF BENEFIT OF LESS DELAY ON I-93 DURING SUMMER WEEKENDS</t>
  </si>
  <si>
    <t>5. Use a CMF of 0.77 for Adding an Auxiliary Lane in a Weaving Area</t>
  </si>
  <si>
    <t>5. There is no CMF for reducing traffic through a weave, but the reduction in crashes would be expected to be proportional to the reduction in the amount of traffic going through the weave, which is expected to be 80% in the AM and 90% in the PM.  Will use a CMF of 0.20.</t>
  </si>
  <si>
    <t>Fuel Cost Savings is directly related to the volume of traffic</t>
  </si>
  <si>
    <t>USING BOW HOPKINTON AS GO-BY</t>
  </si>
  <si>
    <t>Value of Crash Reductions</t>
  </si>
  <si>
    <t>INFORMATION PROVIDED BY NHDOT</t>
  </si>
  <si>
    <t>PER YEAR</t>
  </si>
  <si>
    <t xml:space="preserve">TOTAL = </t>
  </si>
  <si>
    <t xml:space="preserve">USER DELAY COST - I-93 NB - FRIDAY = </t>
  </si>
  <si>
    <t xml:space="preserve">USER DELAY COST - I-93 NB - SATURDAY = </t>
  </si>
  <si>
    <t xml:space="preserve">USER DELAY COST - I-93 NB - SUNDAY = </t>
  </si>
  <si>
    <t xml:space="preserve">USER DELAY COST - I-93 SB - FRIDAY = </t>
  </si>
  <si>
    <t xml:space="preserve">USER DELAY COST - I-93 SB - SATURDAY = </t>
  </si>
  <si>
    <t xml:space="preserve">USER DELAY COST - I-93 SB - SUNDAY = </t>
  </si>
  <si>
    <t>PER YEAR (2018)</t>
  </si>
  <si>
    <t>Travel Times Savings (Dollar Rate) Remains Constant</t>
  </si>
  <si>
    <t>Increase in Vehicle  Delay (Compared to 2035)</t>
  </si>
  <si>
    <t>SCALE</t>
  </si>
  <si>
    <t>PROJECT NO.</t>
  </si>
  <si>
    <t>DATE</t>
  </si>
  <si>
    <t>CHECKED BY</t>
  </si>
  <si>
    <t>CALCULATED BY</t>
  </si>
  <si>
    <t>www.mjinc.com</t>
  </si>
  <si>
    <t>OF</t>
  </si>
  <si>
    <t>SHEET NO.</t>
  </si>
  <si>
    <t>Engineering, Planning &amp; Construction Administration</t>
  </si>
  <si>
    <t>JOB</t>
  </si>
  <si>
    <t>McFARLAND JOHNSON</t>
  </si>
  <si>
    <t>Begin Design Year</t>
  </si>
  <si>
    <t>End Design Year</t>
  </si>
  <si>
    <t>Begin Construction Year</t>
  </si>
  <si>
    <t>End Construction Year</t>
  </si>
  <si>
    <t>=</t>
  </si>
  <si>
    <t>PE/ROW Costs Per Year</t>
  </si>
  <si>
    <t>Construction Costs</t>
  </si>
  <si>
    <t>Construction Costs Per Year</t>
  </si>
  <si>
    <t>Project Opening Year</t>
  </si>
  <si>
    <t>BRC</t>
  </si>
  <si>
    <t>PROJECT FUNDING ASSUMPTIONS</t>
  </si>
  <si>
    <t>Analysis Periond</t>
  </si>
  <si>
    <t>End Analysis Year Year</t>
  </si>
  <si>
    <t>Design Costs</t>
  </si>
  <si>
    <t>Total Project Costs</t>
  </si>
  <si>
    <r>
      <t>Initial Project Costs ($2018)</t>
    </r>
    <r>
      <rPr>
        <vertAlign val="superscript"/>
        <sz val="11"/>
        <color theme="1"/>
        <rFont val="Calibri"/>
        <family val="2"/>
        <scheme val="minor"/>
      </rPr>
      <t>1</t>
    </r>
  </si>
  <si>
    <t>Total Cost ($2018)</t>
  </si>
  <si>
    <t>Total Costs ($2018) Discounted 7%</t>
  </si>
  <si>
    <t>Total Costs ($2018) Discounted 3%</t>
  </si>
  <si>
    <t>Cost ($2018)</t>
  </si>
  <si>
    <t>Cost Savings ($2018)</t>
  </si>
  <si>
    <r>
      <t>Value of Crash Reductions Savings ($2018)</t>
    </r>
    <r>
      <rPr>
        <vertAlign val="superscript"/>
        <sz val="11"/>
        <color theme="1"/>
        <rFont val="Calibri"/>
        <family val="2"/>
        <scheme val="minor"/>
      </rPr>
      <t>5</t>
    </r>
  </si>
  <si>
    <t>($2018)</t>
  </si>
  <si>
    <t>IN ANALYSIS YEAR 2035 IN 2018 DOLLARS</t>
  </si>
  <si>
    <r>
      <t>Value of Time Saved (Weekday Peak Hours) ($2018)</t>
    </r>
    <r>
      <rPr>
        <vertAlign val="superscript"/>
        <sz val="11"/>
        <color theme="1"/>
        <rFont val="Calibri"/>
        <family val="2"/>
        <scheme val="minor"/>
      </rPr>
      <t>4</t>
    </r>
  </si>
  <si>
    <t>Average Annual Traffic (Compared to 2018)</t>
  </si>
  <si>
    <t>Increase in Vehicle  Delay (Compared to 2018)</t>
  </si>
  <si>
    <t>Value of Time Saved ($2018)</t>
  </si>
  <si>
    <t>Summer Weekend Value of Time Saved ($2018)</t>
  </si>
  <si>
    <t>Summer Weekend Value of Time Saved in 2018</t>
  </si>
  <si>
    <t>Assumed % proposed improvements will reduce delay</t>
  </si>
  <si>
    <r>
      <t>Value of Fuel Saved ($2018)</t>
    </r>
    <r>
      <rPr>
        <vertAlign val="superscript"/>
        <sz val="11"/>
        <color theme="1"/>
        <rFont val="Calibri"/>
        <family val="2"/>
        <scheme val="minor"/>
      </rPr>
      <t>4</t>
    </r>
  </si>
  <si>
    <t>(I-89, Exit 12, &amp; 1/2 Exit 13)</t>
  </si>
  <si>
    <t>3 Highway Maintenance includes additional pavement preservation projects at 10-year interval after opening</t>
  </si>
  <si>
    <t>Total Benefits ($2018) Discounted 3%</t>
  </si>
  <si>
    <t>Total Benefits ($2018) Discounted 7%</t>
  </si>
  <si>
    <t>Total Benefits ($2018)</t>
  </si>
  <si>
    <r>
      <t>Additional Highway Operation &amp; Maintenance Cost ($2018)</t>
    </r>
    <r>
      <rPr>
        <vertAlign val="superscript"/>
        <sz val="11"/>
        <color theme="1"/>
        <rFont val="Calibri"/>
        <family val="2"/>
        <scheme val="minor"/>
      </rPr>
      <t>3</t>
    </r>
  </si>
  <si>
    <r>
      <t>Additional Bridge Operation &amp; Maintenance Cost ($2018)</t>
    </r>
    <r>
      <rPr>
        <vertAlign val="superscript"/>
        <sz val="11"/>
        <color theme="1"/>
        <rFont val="Calibri"/>
        <family val="2"/>
        <scheme val="minor"/>
      </rPr>
      <t>2</t>
    </r>
  </si>
  <si>
    <t>Residual Value of New and Replaced Bridges                 ($2018)</t>
  </si>
  <si>
    <t>Value of Time Saved (Tourist Weekends) ($2018)</t>
  </si>
  <si>
    <r>
      <t xml:space="preserve">Avoided Bridge Projects </t>
    </r>
    <r>
      <rPr>
        <vertAlign val="superscript"/>
        <sz val="11"/>
        <color theme="1"/>
        <rFont val="Calibri"/>
        <family val="2"/>
        <scheme val="minor"/>
      </rPr>
      <t>6</t>
    </r>
  </si>
  <si>
    <t>AVOIDED BRIDGE PROJECTS</t>
  </si>
  <si>
    <t>RESIDUAL BRIDGE VALUE</t>
  </si>
  <si>
    <t xml:space="preserve">Total Estimated Bridge Construction Cost ($2018) = </t>
  </si>
  <si>
    <t xml:space="preserve">Bridge Opening Year = </t>
  </si>
  <si>
    <t>End of Analysis Year =</t>
  </si>
  <si>
    <t xml:space="preserve">Residual Value at End of Analysis Year = </t>
  </si>
  <si>
    <t>I-89 over South St</t>
  </si>
  <si>
    <t>COST OF BRIDGE PROJECTS IF BOW-CONCORD 13742 PROJECT IS NOT UNDERTAKEN</t>
  </si>
  <si>
    <t>ASSUME CURRENT RED LIST BRIDGES WOULD NEED COMPLETE REPLACEMENT</t>
  </si>
  <si>
    <t>RED LIST BRIDGES IN AREA</t>
  </si>
  <si>
    <t>Bridge</t>
  </si>
  <si>
    <t>Priority</t>
  </si>
  <si>
    <t>Cost per SF</t>
  </si>
  <si>
    <t>Bridge Cost</t>
  </si>
  <si>
    <t>Other Costs (x2)</t>
  </si>
  <si>
    <t>Total Cost</t>
  </si>
  <si>
    <t>DECK SF</t>
  </si>
  <si>
    <t>BASED ON PREVIOUS CALCULATIONS, THE AVERAGE RATE IS</t>
  </si>
  <si>
    <t>PER HOUR OF DELAY</t>
  </si>
  <si>
    <t>THE ABOVE DELAY VALUES ARE BASED ON AN AVERAGE OF</t>
  </si>
  <si>
    <t xml:space="preserve">ADJUSTED TOTAL = </t>
  </si>
  <si>
    <t>THIS ABOVE VALUE IS FOR THE SEASONAL DELAY FROM MEMORIAL DAY TO COLUMBUS DAY</t>
  </si>
  <si>
    <t>(20 WEEKENDS)</t>
  </si>
  <si>
    <t>ADDITIONAL WEEKEND DELAY OCCURS DURING SKI SEASON AND OTHER HOLIDAYS OUTSIDE OF</t>
  </si>
  <si>
    <t>DATA RANGE ABOVE</t>
  </si>
  <si>
    <t>(4 WEEKENDS)</t>
  </si>
  <si>
    <t>ADJUSTMENT TOTAL</t>
  </si>
  <si>
    <t>Value of Fuel Saved ($2018)</t>
  </si>
  <si>
    <t xml:space="preserve">SAVINGS OF BUSINESS TRAVEL TIME COSTS PER YEAR = </t>
  </si>
  <si>
    <t>Total Travel Time Delay Increases at a rate of 2.05% per year</t>
  </si>
  <si>
    <t>INTERSECTION AT END OF I-89 NB OFF RAMP AT EXIT 1 WITH SOUTH STREET</t>
  </si>
  <si>
    <t>INTERSECTION AT END OF I-89 SB OFF RAMP AT EXIT 1 WITH SOUTH STREET</t>
  </si>
  <si>
    <t>Fatality added that occurred in 2017</t>
  </si>
  <si>
    <t>I-89 Exit 1 NB Off Ramp Intersection with South Street</t>
  </si>
  <si>
    <t>I-89 Exit 1 SB Off Ramp Intersection with South Street</t>
  </si>
  <si>
    <t>I-93 SB RAMP TO I-89 NB</t>
  </si>
  <si>
    <t>I-93 SB OVER B&amp;M RAILROAD</t>
  </si>
  <si>
    <t>I-93 NB OVER B&amp;M RAILROAD</t>
  </si>
  <si>
    <t>I-93 SB OVER HALL STREET</t>
  </si>
  <si>
    <t>I-93 NB OVER HALL STREET</t>
  </si>
  <si>
    <t>TOTAL PROJECT COST</t>
  </si>
  <si>
    <t>OTHER BRIDGES IN THE AREA THAT NEED TO BE REDECKED IF BOW-CONCORD PROJECT DOES NOT ADVANCE</t>
  </si>
  <si>
    <t>EXPECTED YEAR</t>
  </si>
  <si>
    <t>A DECK REPLACEMENT IF BOW-CONCORD PROJECT IS NOT UNDERTAKEN</t>
  </si>
  <si>
    <t>1. Based on Conceptual Cost Estimate ($2018) dated July 2018</t>
  </si>
  <si>
    <t>ASSUME OTHER BRIDGES THAT BOW-CONCORD WOULD RECONSTRUCT WOULD HAVE NEEDED</t>
  </si>
  <si>
    <t>ASSUME THIS WOULD NEED TO BE DONE BY OPENING YEAR OF BOW-CONCORD PROJECT</t>
  </si>
  <si>
    <t>Ramp I over Turkey River</t>
  </si>
  <si>
    <t>Ramp I over Local Road</t>
  </si>
  <si>
    <t>Pre-Construction Costs</t>
  </si>
  <si>
    <t>ROW Costs</t>
  </si>
  <si>
    <t>Mitigation Costs</t>
  </si>
  <si>
    <t>Final Design Costs</t>
  </si>
  <si>
    <t>Utility Reloc.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</si>
</sst>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&quot;$&quot;#,##0"/>
    <numFmt numFmtId="166" formatCode="&quot;$&quot;#,##0.00"/>
    <numFmt numFmtId="168" formatCode="0.0000"/>
    <numFmt numFmtId="169" formatCode="0.0%"/>
    <numFmt numFmtId="171" formatCode="00\ &quot;Years&quot;"/>
    <numFmt numFmtId="172" formatCode="[$-409]mmmm\ d\,\ yyyy;@"/>
    <numFmt numFmtId="173" formatCode="0.000"/>
    <numFmt numFmtId="174" formatCode="mm/dd/yy;@"/>
    <numFmt numFmtId="175" formatCode="_(&quot;$&quot;* #,##0_);_(&quot;$&quot;* \(#,##0\);_(&quot;$&quot;* &quot;-&quot;??_);_(@_)"/>
    <numFmt numFmtId="176" formatCode="00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name val="Courier"/>
      <family val="3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13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theme="1" tint="0.34998626667073579"/>
      </right>
      <top style="thin">
        <color indexed="64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indexed="64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indexed="64"/>
      </right>
      <top style="thin">
        <color indexed="64"/>
      </top>
      <bottom style="hair">
        <color theme="1" tint="0.34998626667073579"/>
      </bottom>
      <diagonal/>
    </border>
    <border>
      <left style="thin">
        <color indexed="64"/>
      </left>
      <right style="hair">
        <color theme="1" tint="0.34998626667073579"/>
      </right>
      <top style="hair">
        <color theme="1" tint="0.34998626667073579"/>
      </top>
      <bottom style="thin">
        <color indexed="64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indexed="64"/>
      </bottom>
      <diagonal/>
    </border>
    <border>
      <left style="hair">
        <color theme="1" tint="0.34998626667073579"/>
      </left>
      <right style="thin">
        <color indexed="64"/>
      </right>
      <top style="hair">
        <color theme="1" tint="0.34998626667073579"/>
      </top>
      <bottom style="thin">
        <color indexed="64"/>
      </bottom>
      <diagonal/>
    </border>
    <border>
      <left style="hair">
        <color theme="1" tint="0.34998626667073579"/>
      </left>
      <right/>
      <top style="thin">
        <color indexed="64"/>
      </top>
      <bottom style="hair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 style="thin">
        <color indexed="64"/>
      </bottom>
      <diagonal/>
    </border>
    <border>
      <left/>
      <right style="hair">
        <color theme="1" tint="0.34998626667073579"/>
      </right>
      <top style="thin">
        <color indexed="64"/>
      </top>
      <bottom style="hair">
        <color theme="1" tint="0.34998626667073579"/>
      </bottom>
      <diagonal/>
    </border>
    <border>
      <left/>
      <right style="hair">
        <color theme="1" tint="0.34998626667073579"/>
      </right>
      <top style="hair">
        <color theme="1" tint="0.34998626667073579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theme="1" tint="0.499984740745262"/>
      </bottom>
      <diagonal/>
    </border>
    <border>
      <left style="thin">
        <color auto="1"/>
      </left>
      <right style="thin">
        <color auto="1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 style="hair">
        <color theme="1" tint="0.34998626667073579"/>
      </right>
      <top/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indexed="64"/>
      </right>
      <top/>
      <bottom style="hair">
        <color theme="1" tint="0.34998626667073579"/>
      </bottom>
      <diagonal/>
    </border>
    <border>
      <left style="medium">
        <color indexed="64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auto="1"/>
      </right>
      <top style="thin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2" fillId="0" borderId="0"/>
    <xf numFmtId="0" fontId="17" fillId="0" borderId="0"/>
  </cellStyleXfs>
  <cellXfs count="595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/>
    <xf numFmtId="165" fontId="1" fillId="0" borderId="0" xfId="0" applyNumberFormat="1" applyFont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0" xfId="0" applyBorder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 wrapText="1"/>
    </xf>
    <xf numFmtId="166" fontId="0" fillId="0" borderId="0" xfId="0" applyNumberFormat="1" applyBorder="1" applyAlignment="1">
      <alignment horizontal="center"/>
    </xf>
    <xf numFmtId="0" fontId="0" fillId="0" borderId="0" xfId="0" applyBorder="1" applyAlignment="1">
      <alignment wrapText="1"/>
    </xf>
    <xf numFmtId="39" fontId="3" fillId="0" borderId="0" xfId="0" applyNumberFormat="1" applyFont="1"/>
    <xf numFmtId="39" fontId="0" fillId="0" borderId="0" xfId="0" applyNumberFormat="1"/>
    <xf numFmtId="7" fontId="3" fillId="0" borderId="0" xfId="0" applyNumberFormat="1" applyFont="1"/>
    <xf numFmtId="7" fontId="0" fillId="0" borderId="0" xfId="0" applyNumberFormat="1"/>
    <xf numFmtId="165" fontId="1" fillId="0" borderId="27" xfId="0" applyNumberFormat="1" applyFont="1" applyBorder="1"/>
    <xf numFmtId="0" fontId="0" fillId="0" borderId="18" xfId="0" applyBorder="1"/>
    <xf numFmtId="0" fontId="0" fillId="0" borderId="16" xfId="0" applyBorder="1"/>
    <xf numFmtId="0" fontId="5" fillId="0" borderId="0" xfId="0" applyFont="1"/>
    <xf numFmtId="0" fontId="5" fillId="0" borderId="0" xfId="0" applyFont="1" applyAlignment="1">
      <alignment vertical="top"/>
    </xf>
    <xf numFmtId="0" fontId="0" fillId="0" borderId="0" xfId="0" applyAlignment="1"/>
    <xf numFmtId="7" fontId="5" fillId="0" borderId="0" xfId="0" applyNumberFormat="1" applyFont="1"/>
    <xf numFmtId="165" fontId="1" fillId="0" borderId="20" xfId="0" applyNumberFormat="1" applyFont="1" applyBorder="1"/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5" fontId="0" fillId="0" borderId="34" xfId="0" applyNumberFormat="1" applyBorder="1"/>
    <xf numFmtId="0" fontId="0" fillId="0" borderId="27" xfId="0" applyBorder="1" applyAlignment="1">
      <alignment horizont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Fill="1"/>
    <xf numFmtId="0" fontId="0" fillId="0" borderId="13" xfId="0" applyBorder="1" applyAlignment="1">
      <alignment horizontal="center"/>
    </xf>
    <xf numFmtId="0" fontId="0" fillId="0" borderId="0" xfId="0" applyFill="1" applyBorder="1"/>
    <xf numFmtId="165" fontId="0" fillId="0" borderId="0" xfId="0" applyNumberFormat="1" applyFill="1"/>
    <xf numFmtId="0" fontId="0" fillId="0" borderId="0" xfId="0" applyFill="1" applyBorder="1" applyAlignment="1">
      <alignment horizontal="center" wrapText="1"/>
    </xf>
    <xf numFmtId="166" fontId="0" fillId="0" borderId="0" xfId="0" applyNumberFormat="1" applyFill="1" applyBorder="1" applyAlignment="1">
      <alignment horizontal="center"/>
    </xf>
    <xf numFmtId="165" fontId="0" fillId="0" borderId="0" xfId="0" applyNumberFormat="1" applyFill="1" applyAlignment="1">
      <alignment wrapText="1"/>
    </xf>
    <xf numFmtId="0" fontId="5" fillId="0" borderId="0" xfId="0" applyFont="1" applyFill="1" applyAlignment="1">
      <alignment vertical="top" wrapText="1"/>
    </xf>
    <xf numFmtId="1" fontId="0" fillId="0" borderId="0" xfId="0" applyNumberFormat="1" applyBorder="1"/>
    <xf numFmtId="0" fontId="0" fillId="0" borderId="0" xfId="0" applyBorder="1" applyAlignment="1"/>
    <xf numFmtId="0" fontId="0" fillId="0" borderId="27" xfId="0" applyFill="1" applyBorder="1" applyAlignment="1">
      <alignment horizontal="center" wrapText="1"/>
    </xf>
    <xf numFmtId="39" fontId="0" fillId="0" borderId="27" xfId="0" applyNumberFormat="1" applyFill="1" applyBorder="1" applyAlignment="1">
      <alignment horizontal="center" wrapText="1"/>
    </xf>
    <xf numFmtId="5" fontId="0" fillId="0" borderId="36" xfId="0" applyNumberFormat="1" applyFill="1" applyBorder="1"/>
    <xf numFmtId="165" fontId="1" fillId="0" borderId="20" xfId="0" applyNumberFormat="1" applyFont="1" applyFill="1" applyBorder="1"/>
    <xf numFmtId="5" fontId="1" fillId="0" borderId="27" xfId="0" applyNumberFormat="1" applyFont="1" applyFill="1" applyBorder="1"/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168" fontId="0" fillId="0" borderId="6" xfId="0" applyNumberFormat="1" applyBorder="1" applyAlignment="1">
      <alignment horizontal="center"/>
    </xf>
    <xf numFmtId="168" fontId="0" fillId="0" borderId="6" xfId="0" applyNumberFormat="1" applyFill="1" applyBorder="1" applyAlignment="1">
      <alignment horizontal="center"/>
    </xf>
    <xf numFmtId="168" fontId="0" fillId="0" borderId="9" xfId="0" applyNumberFormat="1" applyBorder="1" applyAlignment="1">
      <alignment horizontal="center"/>
    </xf>
    <xf numFmtId="0" fontId="7" fillId="0" borderId="0" xfId="0" applyFont="1"/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0" xfId="0" applyAlignment="1">
      <alignment wrapText="1"/>
    </xf>
    <xf numFmtId="165" fontId="1" fillId="0" borderId="0" xfId="0" applyNumberFormat="1" applyFont="1" applyBorder="1"/>
    <xf numFmtId="0" fontId="0" fillId="0" borderId="0" xfId="0" applyBorder="1" applyAlignment="1">
      <alignment horizontal="right"/>
    </xf>
    <xf numFmtId="0" fontId="0" fillId="0" borderId="59" xfId="0" applyBorder="1"/>
    <xf numFmtId="0" fontId="3" fillId="0" borderId="0" xfId="0" applyFont="1" applyFill="1"/>
    <xf numFmtId="0" fontId="0" fillId="0" borderId="20" xfId="0" applyFill="1" applyBorder="1"/>
    <xf numFmtId="0" fontId="0" fillId="0" borderId="17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40" xfId="0" applyFill="1" applyBorder="1"/>
    <xf numFmtId="165" fontId="0" fillId="0" borderId="37" xfId="0" applyNumberFormat="1" applyFill="1" applyBorder="1"/>
    <xf numFmtId="165" fontId="0" fillId="0" borderId="0" xfId="0" applyNumberFormat="1" applyFill="1" applyBorder="1"/>
    <xf numFmtId="0" fontId="0" fillId="0" borderId="41" xfId="0" applyFill="1" applyBorder="1"/>
    <xf numFmtId="165" fontId="0" fillId="0" borderId="38" xfId="0" applyNumberFormat="1" applyFill="1" applyBorder="1"/>
    <xf numFmtId="0" fontId="0" fillId="0" borderId="42" xfId="0" applyFill="1" applyBorder="1"/>
    <xf numFmtId="165" fontId="0" fillId="0" borderId="39" xfId="0" applyNumberFormat="1" applyFill="1" applyBorder="1"/>
    <xf numFmtId="0" fontId="5" fillId="0" borderId="0" xfId="0" applyFont="1" applyFill="1"/>
    <xf numFmtId="0" fontId="0" fillId="0" borderId="0" xfId="0" applyAlignment="1">
      <alignment horizontal="center"/>
    </xf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Fill="1" applyAlignment="1"/>
    <xf numFmtId="0" fontId="9" fillId="0" borderId="1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0" fillId="0" borderId="3" xfId="0" applyBorder="1"/>
    <xf numFmtId="164" fontId="0" fillId="0" borderId="37" xfId="0" applyNumberFormat="1" applyFill="1" applyBorder="1"/>
    <xf numFmtId="164" fontId="0" fillId="0" borderId="38" xfId="0" applyNumberFormat="1" applyFill="1" applyBorder="1"/>
    <xf numFmtId="164" fontId="0" fillId="0" borderId="39" xfId="0" applyNumberFormat="1" applyFill="1" applyBorder="1"/>
    <xf numFmtId="1" fontId="9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wrapText="1"/>
    </xf>
    <xf numFmtId="166" fontId="0" fillId="0" borderId="11" xfId="0" applyNumberFormat="1" applyFill="1" applyBorder="1" applyAlignment="1">
      <alignment horizontal="center"/>
    </xf>
    <xf numFmtId="166" fontId="0" fillId="0" borderId="12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0" borderId="8" xfId="0" applyNumberFormat="1" applyFill="1" applyBorder="1" applyAlignment="1">
      <alignment horizontal="center"/>
    </xf>
    <xf numFmtId="166" fontId="0" fillId="0" borderId="9" xfId="0" applyNumberFormat="1" applyFill="1" applyBorder="1" applyAlignment="1">
      <alignment horizontal="center"/>
    </xf>
    <xf numFmtId="0" fontId="10" fillId="0" borderId="0" xfId="0" applyFont="1" applyFill="1" applyAlignment="1">
      <alignment vertical="center" wrapText="1"/>
    </xf>
    <xf numFmtId="165" fontId="9" fillId="0" borderId="26" xfId="0" applyNumberFormat="1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9" fontId="9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10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/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15" xfId="0" applyBorder="1"/>
    <xf numFmtId="165" fontId="0" fillId="0" borderId="34" xfId="3" applyNumberFormat="1" applyFont="1" applyBorder="1"/>
    <xf numFmtId="165" fontId="9" fillId="0" borderId="50" xfId="0" applyNumberFormat="1" applyFont="1" applyFill="1" applyBorder="1" applyAlignment="1">
      <alignment horizontal="center" vertical="center"/>
    </xf>
    <xf numFmtId="0" fontId="0" fillId="0" borderId="24" xfId="0" applyBorder="1"/>
    <xf numFmtId="7" fontId="0" fillId="0" borderId="0" xfId="0" applyNumberFormat="1" applyBorder="1"/>
    <xf numFmtId="165" fontId="9" fillId="0" borderId="60" xfId="0" applyNumberFormat="1" applyFont="1" applyFill="1" applyBorder="1" applyAlignment="1">
      <alignment horizontal="center" vertical="center"/>
    </xf>
    <xf numFmtId="165" fontId="9" fillId="0" borderId="18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43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3" xfId="0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6" xfId="0" applyBorder="1"/>
    <xf numFmtId="0" fontId="0" fillId="0" borderId="50" xfId="0" applyBorder="1"/>
    <xf numFmtId="0" fontId="0" fillId="0" borderId="43" xfId="0" applyBorder="1"/>
    <xf numFmtId="165" fontId="0" fillId="0" borderId="50" xfId="0" applyNumberFormat="1" applyBorder="1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2" xfId="0" applyBorder="1"/>
    <xf numFmtId="0" fontId="0" fillId="0" borderId="25" xfId="0" applyBorder="1"/>
    <xf numFmtId="0" fontId="1" fillId="0" borderId="24" xfId="0" applyFont="1" applyFill="1" applyBorder="1" applyAlignment="1">
      <alignment horizontal="center"/>
    </xf>
    <xf numFmtId="0" fontId="1" fillId="0" borderId="63" xfId="0" applyFont="1" applyFill="1" applyBorder="1" applyAlignment="1">
      <alignment horizontal="center" wrapText="1"/>
    </xf>
    <xf numFmtId="0" fontId="1" fillId="0" borderId="62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23" xfId="0" applyFont="1" applyFill="1" applyBorder="1" applyAlignment="1">
      <alignment horizontal="center" wrapText="1"/>
    </xf>
    <xf numFmtId="1" fontId="0" fillId="0" borderId="68" xfId="0" applyNumberFormat="1" applyFill="1" applyBorder="1" applyAlignment="1">
      <alignment horizontal="center"/>
    </xf>
    <xf numFmtId="2" fontId="0" fillId="0" borderId="73" xfId="0" applyNumberFormat="1" applyFill="1" applyBorder="1" applyAlignment="1">
      <alignment horizontal="center"/>
    </xf>
    <xf numFmtId="2" fontId="0" fillId="0" borderId="69" xfId="0" applyNumberFormat="1" applyFill="1" applyBorder="1" applyAlignment="1">
      <alignment horizontal="center"/>
    </xf>
    <xf numFmtId="1" fontId="0" fillId="0" borderId="70" xfId="0" applyNumberFormat="1" applyFill="1" applyBorder="1" applyAlignment="1">
      <alignment horizontal="center"/>
    </xf>
    <xf numFmtId="2" fontId="0" fillId="0" borderId="55" xfId="0" applyNumberFormat="1" applyFill="1" applyBorder="1" applyAlignment="1">
      <alignment horizontal="center"/>
    </xf>
    <xf numFmtId="2" fontId="0" fillId="0" borderId="54" xfId="0" applyNumberFormat="1" applyFill="1" applyBorder="1" applyAlignment="1">
      <alignment horizontal="center"/>
    </xf>
    <xf numFmtId="1" fontId="0" fillId="0" borderId="63" xfId="0" applyNumberFormat="1" applyFill="1" applyBorder="1" applyAlignment="1">
      <alignment horizontal="center"/>
    </xf>
    <xf numFmtId="2" fontId="0" fillId="0" borderId="62" xfId="0" applyNumberFormat="1" applyFill="1" applyBorder="1" applyAlignment="1">
      <alignment horizontal="center"/>
    </xf>
    <xf numFmtId="2" fontId="0" fillId="0" borderId="71" xfId="0" applyNumberFormat="1" applyFill="1" applyBorder="1" applyAlignment="1">
      <alignment horizontal="center"/>
    </xf>
    <xf numFmtId="0" fontId="0" fillId="0" borderId="72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0" xfId="0" applyAlignment="1">
      <alignment horizontal="left" indent="1"/>
    </xf>
    <xf numFmtId="2" fontId="0" fillId="0" borderId="67" xfId="0" applyNumberFormat="1" applyBorder="1" applyAlignment="1">
      <alignment horizontal="center"/>
    </xf>
    <xf numFmtId="0" fontId="0" fillId="0" borderId="67" xfId="0" applyBorder="1" applyAlignment="1">
      <alignment horizontal="center"/>
    </xf>
    <xf numFmtId="43" fontId="0" fillId="0" borderId="0" xfId="2" applyFont="1" applyAlignment="1">
      <alignment horizontal="center"/>
    </xf>
    <xf numFmtId="6" fontId="0" fillId="0" borderId="22" xfId="0" quotePrefix="1" applyNumberFormat="1" applyFill="1" applyBorder="1" applyAlignment="1">
      <alignment horizontal="center" wrapText="1"/>
    </xf>
    <xf numFmtId="0" fontId="0" fillId="0" borderId="23" xfId="0" quotePrefix="1" applyFill="1" applyBorder="1" applyAlignment="1">
      <alignment horizontal="center" wrapText="1"/>
    </xf>
    <xf numFmtId="0" fontId="0" fillId="0" borderId="44" xfId="0" applyFill="1" applyBorder="1" applyAlignment="1"/>
    <xf numFmtId="6" fontId="0" fillId="0" borderId="45" xfId="0" quotePrefix="1" applyNumberFormat="1" applyFill="1" applyBorder="1" applyAlignment="1">
      <alignment horizontal="center" wrapText="1"/>
    </xf>
    <xf numFmtId="0" fontId="0" fillId="0" borderId="46" xfId="0" quotePrefix="1" applyFill="1" applyBorder="1" applyAlignment="1">
      <alignment horizontal="center" wrapText="1"/>
    </xf>
    <xf numFmtId="0" fontId="0" fillId="0" borderId="61" xfId="0" applyFill="1" applyBorder="1"/>
    <xf numFmtId="166" fontId="0" fillId="0" borderId="48" xfId="0" applyNumberForma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0" fontId="0" fillId="0" borderId="10" xfId="0" applyFill="1" applyBorder="1" applyAlignment="1">
      <alignment horizontal="left" indent="1"/>
    </xf>
    <xf numFmtId="0" fontId="0" fillId="0" borderId="5" xfId="0" applyFill="1" applyBorder="1" applyAlignment="1">
      <alignment horizontal="left" indent="1"/>
    </xf>
    <xf numFmtId="0" fontId="0" fillId="0" borderId="7" xfId="0" applyFill="1" applyBorder="1" applyAlignment="1">
      <alignment horizontal="left" indent="1"/>
    </xf>
    <xf numFmtId="0" fontId="0" fillId="0" borderId="49" xfId="0" applyFill="1" applyBorder="1"/>
    <xf numFmtId="166" fontId="0" fillId="0" borderId="47" xfId="0" applyNumberFormat="1" applyFill="1" applyBorder="1" applyAlignment="1">
      <alignment horizontal="center"/>
    </xf>
    <xf numFmtId="166" fontId="0" fillId="0" borderId="50" xfId="0" applyNumberFormat="1" applyFill="1" applyBorder="1" applyAlignment="1">
      <alignment horizontal="center"/>
    </xf>
    <xf numFmtId="0" fontId="0" fillId="0" borderId="44" xfId="0" applyFill="1" applyBorder="1"/>
    <xf numFmtId="0" fontId="0" fillId="0" borderId="45" xfId="0" applyBorder="1"/>
    <xf numFmtId="10" fontId="0" fillId="0" borderId="46" xfId="0" applyNumberFormat="1" applyFill="1" applyBorder="1" applyAlignment="1">
      <alignment horizontal="center"/>
    </xf>
    <xf numFmtId="0" fontId="0" fillId="0" borderId="51" xfId="0" applyFill="1" applyBorder="1"/>
    <xf numFmtId="0" fontId="0" fillId="0" borderId="57" xfId="0" applyBorder="1"/>
    <xf numFmtId="10" fontId="0" fillId="0" borderId="52" xfId="0" applyNumberFormat="1" applyFill="1" applyBorder="1" applyAlignment="1">
      <alignment horizontal="center"/>
    </xf>
    <xf numFmtId="10" fontId="0" fillId="0" borderId="0" xfId="0" applyNumberFormat="1" applyFill="1" applyBorder="1" applyAlignment="1">
      <alignment horizontal="center"/>
    </xf>
    <xf numFmtId="2" fontId="0" fillId="0" borderId="46" xfId="0" applyNumberFormat="1" applyFill="1" applyBorder="1" applyAlignment="1">
      <alignment horizontal="center"/>
    </xf>
    <xf numFmtId="2" fontId="0" fillId="0" borderId="52" xfId="0" applyNumberFormat="1" applyFill="1" applyBorder="1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quotePrefix="1" applyAlignment="1">
      <alignment horizontal="right"/>
    </xf>
    <xf numFmtId="166" fontId="0" fillId="0" borderId="0" xfId="0" applyNumberFormat="1" applyAlignment="1">
      <alignment horizontal="center"/>
    </xf>
    <xf numFmtId="10" fontId="0" fillId="0" borderId="0" xfId="0" applyNumberFormat="1"/>
    <xf numFmtId="7" fontId="0" fillId="0" borderId="0" xfId="3" applyNumberFormat="1" applyFont="1"/>
    <xf numFmtId="0" fontId="9" fillId="0" borderId="6" xfId="0" applyFont="1" applyFill="1" applyBorder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quotePrefix="1" applyAlignment="1">
      <alignment horizontal="right" indent="1"/>
    </xf>
    <xf numFmtId="0" fontId="0" fillId="0" borderId="0" xfId="0" quotePrefix="1" applyFill="1" applyAlignment="1">
      <alignment horizontal="right" indent="1"/>
    </xf>
    <xf numFmtId="168" fontId="0" fillId="0" borderId="50" xfId="0" applyNumberFormat="1" applyBorder="1" applyAlignment="1">
      <alignment horizontal="center"/>
    </xf>
    <xf numFmtId="165" fontId="0" fillId="0" borderId="60" xfId="0" applyNumberFormat="1" applyBorder="1" applyAlignment="1">
      <alignment horizontal="center"/>
    </xf>
    <xf numFmtId="165" fontId="0" fillId="2" borderId="27" xfId="0" applyNumberFormat="1" applyFill="1" applyBorder="1" applyAlignment="1">
      <alignment horizontal="center"/>
    </xf>
    <xf numFmtId="165" fontId="0" fillId="0" borderId="52" xfId="0" applyNumberFormat="1" applyBorder="1" applyAlignment="1">
      <alignment horizontal="center"/>
    </xf>
    <xf numFmtId="165" fontId="1" fillId="0" borderId="30" xfId="0" applyNumberFormat="1" applyFont="1" applyBorder="1" applyAlignment="1">
      <alignment horizontal="center"/>
    </xf>
    <xf numFmtId="1" fontId="9" fillId="0" borderId="11" xfId="0" applyNumberFormat="1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  <xf numFmtId="10" fontId="9" fillId="0" borderId="1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0" fillId="0" borderId="0" xfId="0" applyAlignment="1">
      <alignment wrapText="1"/>
    </xf>
    <xf numFmtId="0" fontId="9" fillId="0" borderId="2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5" fontId="0" fillId="0" borderId="0" xfId="0" applyNumberFormat="1" applyBorder="1"/>
    <xf numFmtId="165" fontId="9" fillId="0" borderId="0" xfId="0" applyNumberFormat="1" applyFont="1" applyFill="1" applyBorder="1"/>
    <xf numFmtId="165" fontId="0" fillId="0" borderId="0" xfId="0" applyNumberForma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28" xfId="0" applyBorder="1"/>
    <xf numFmtId="165" fontId="0" fillId="0" borderId="28" xfId="0" applyNumberFormat="1" applyBorder="1"/>
    <xf numFmtId="165" fontId="9" fillId="0" borderId="28" xfId="0" applyNumberFormat="1" applyFont="1" applyFill="1" applyBorder="1"/>
    <xf numFmtId="165" fontId="0" fillId="0" borderId="28" xfId="0" applyNumberFormat="1" applyBorder="1" applyAlignment="1">
      <alignment horizontal="center"/>
    </xf>
    <xf numFmtId="165" fontId="0" fillId="0" borderId="28" xfId="0" applyNumberForma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1" fontId="13" fillId="0" borderId="76" xfId="0" applyNumberFormat="1" applyFont="1" applyBorder="1" applyAlignment="1">
      <alignment horizontal="center" vertical="center"/>
    </xf>
    <xf numFmtId="1" fontId="13" fillId="0" borderId="77" xfId="0" applyNumberFormat="1" applyFont="1" applyBorder="1" applyAlignment="1">
      <alignment horizontal="center" vertical="center"/>
    </xf>
    <xf numFmtId="169" fontId="0" fillId="0" borderId="78" xfId="1" applyNumberFormat="1" applyFont="1" applyBorder="1" applyAlignment="1">
      <alignment horizontal="center"/>
    </xf>
    <xf numFmtId="2" fontId="0" fillId="0" borderId="79" xfId="0" applyNumberFormat="1" applyBorder="1" applyAlignment="1">
      <alignment horizontal="center" vertical="center"/>
    </xf>
    <xf numFmtId="2" fontId="0" fillId="0" borderId="80" xfId="0" applyNumberFormat="1" applyBorder="1" applyAlignment="1">
      <alignment horizontal="center" vertical="center"/>
    </xf>
    <xf numFmtId="169" fontId="0" fillId="0" borderId="81" xfId="1" applyNumberFormat="1" applyFont="1" applyBorder="1" applyAlignment="1">
      <alignment horizontal="center"/>
    </xf>
    <xf numFmtId="44" fontId="0" fillId="0" borderId="76" xfId="3" applyFont="1" applyBorder="1" applyAlignment="1">
      <alignment horizontal="center" vertical="center"/>
    </xf>
    <xf numFmtId="44" fontId="0" fillId="0" borderId="77" xfId="3" applyFont="1" applyBorder="1" applyAlignment="1">
      <alignment horizontal="center" vertical="center"/>
    </xf>
    <xf numFmtId="44" fontId="0" fillId="0" borderId="79" xfId="3" applyFont="1" applyBorder="1" applyAlignment="1">
      <alignment horizontal="center" vertical="center"/>
    </xf>
    <xf numFmtId="44" fontId="0" fillId="0" borderId="80" xfId="3" applyFont="1" applyBorder="1" applyAlignment="1">
      <alignment horizontal="center" vertical="center"/>
    </xf>
    <xf numFmtId="0" fontId="0" fillId="0" borderId="1" xfId="0" applyBorder="1"/>
    <xf numFmtId="1" fontId="0" fillId="0" borderId="84" xfId="0" applyNumberFormat="1" applyBorder="1" applyAlignment="1">
      <alignment horizontal="center"/>
    </xf>
    <xf numFmtId="1" fontId="0" fillId="0" borderId="85" xfId="0" applyNumberFormat="1" applyBorder="1" applyAlignment="1">
      <alignment horizontal="center"/>
    </xf>
    <xf numFmtId="1" fontId="0" fillId="0" borderId="0" xfId="0" applyNumberFormat="1" applyBorder="1" applyAlignment="1"/>
    <xf numFmtId="2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69" fontId="0" fillId="0" borderId="0" xfId="1" applyNumberFormat="1" applyFont="1" applyBorder="1" applyAlignment="1">
      <alignment horizontal="center"/>
    </xf>
    <xf numFmtId="1" fontId="0" fillId="0" borderId="75" xfId="0" applyNumberFormat="1" applyBorder="1" applyAlignment="1"/>
    <xf numFmtId="2" fontId="0" fillId="0" borderId="75" xfId="0" applyNumberFormat="1" applyBorder="1" applyAlignment="1">
      <alignment horizontal="center" vertical="center"/>
    </xf>
    <xf numFmtId="164" fontId="0" fillId="0" borderId="75" xfId="0" applyNumberFormat="1" applyBorder="1" applyAlignment="1">
      <alignment horizontal="center"/>
    </xf>
    <xf numFmtId="169" fontId="0" fillId="0" borderId="75" xfId="1" applyNumberFormat="1" applyFont="1" applyBorder="1" applyAlignment="1">
      <alignment horizontal="center"/>
    </xf>
    <xf numFmtId="1" fontId="0" fillId="0" borderId="82" xfId="0" applyNumberFormat="1" applyBorder="1" applyAlignment="1">
      <alignment horizontal="center"/>
    </xf>
    <xf numFmtId="1" fontId="0" fillId="0" borderId="83" xfId="0" applyNumberFormat="1" applyBorder="1" applyAlignment="1">
      <alignment horizontal="center"/>
    </xf>
    <xf numFmtId="169" fontId="0" fillId="0" borderId="76" xfId="1" applyNumberFormat="1" applyFont="1" applyBorder="1" applyAlignment="1">
      <alignment horizontal="center"/>
    </xf>
    <xf numFmtId="169" fontId="0" fillId="0" borderId="79" xfId="1" applyNumberFormat="1" applyFont="1" applyBorder="1" applyAlignment="1">
      <alignment horizontal="center"/>
    </xf>
    <xf numFmtId="0" fontId="0" fillId="0" borderId="86" xfId="0" applyBorder="1"/>
    <xf numFmtId="0" fontId="0" fillId="0" borderId="87" xfId="0" applyBorder="1"/>
    <xf numFmtId="1" fontId="0" fillId="0" borderId="76" xfId="0" applyNumberFormat="1" applyBorder="1" applyAlignment="1">
      <alignment horizontal="center" vertical="center"/>
    </xf>
    <xf numFmtId="1" fontId="0" fillId="0" borderId="77" xfId="0" applyNumberFormat="1" applyBorder="1" applyAlignment="1">
      <alignment horizontal="center" vertical="center"/>
    </xf>
    <xf numFmtId="1" fontId="0" fillId="0" borderId="79" xfId="0" applyNumberFormat="1" applyBorder="1" applyAlignment="1">
      <alignment horizontal="center" vertical="center"/>
    </xf>
    <xf numFmtId="1" fontId="0" fillId="0" borderId="80" xfId="0" applyNumberFormat="1" applyBorder="1" applyAlignment="1">
      <alignment horizontal="center" vertical="center"/>
    </xf>
    <xf numFmtId="2" fontId="0" fillId="0" borderId="88" xfId="0" applyNumberFormat="1" applyBorder="1" applyAlignment="1">
      <alignment horizontal="center" vertical="center"/>
    </xf>
    <xf numFmtId="2" fontId="0" fillId="0" borderId="89" xfId="0" applyNumberFormat="1" applyBorder="1" applyAlignment="1">
      <alignment horizontal="center" vertical="center"/>
    </xf>
    <xf numFmtId="1" fontId="13" fillId="0" borderId="78" xfId="0" applyNumberFormat="1" applyFont="1" applyBorder="1" applyAlignment="1">
      <alignment horizontal="center" vertical="center"/>
    </xf>
    <xf numFmtId="1" fontId="0" fillId="0" borderId="81" xfId="0" applyNumberFormat="1" applyBorder="1" applyAlignment="1">
      <alignment horizontal="center" vertical="center"/>
    </xf>
    <xf numFmtId="1" fontId="0" fillId="0" borderId="91" xfId="0" applyNumberFormat="1" applyBorder="1" applyAlignment="1">
      <alignment horizontal="center"/>
    </xf>
    <xf numFmtId="1" fontId="0" fillId="0" borderId="90" xfId="0" applyNumberFormat="1" applyBorder="1" applyAlignment="1">
      <alignment horizontal="center"/>
    </xf>
    <xf numFmtId="169" fontId="0" fillId="0" borderId="88" xfId="1" applyNumberFormat="1" applyFont="1" applyBorder="1" applyAlignment="1">
      <alignment horizontal="center"/>
    </xf>
    <xf numFmtId="169" fontId="0" fillId="0" borderId="92" xfId="1" applyNumberFormat="1" applyFont="1" applyBorder="1" applyAlignment="1">
      <alignment horizontal="center"/>
    </xf>
    <xf numFmtId="0" fontId="0" fillId="0" borderId="7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92" xfId="0" applyNumberFormat="1" applyBorder="1" applyAlignment="1">
      <alignment horizontal="center" vertical="center"/>
    </xf>
    <xf numFmtId="2" fontId="0" fillId="0" borderId="81" xfId="0" applyNumberFormat="1" applyBorder="1" applyAlignment="1">
      <alignment horizontal="center" vertical="center"/>
    </xf>
    <xf numFmtId="1" fontId="0" fillId="0" borderId="78" xfId="0" applyNumberFormat="1" applyBorder="1" applyAlignment="1">
      <alignment horizontal="center" vertical="center"/>
    </xf>
    <xf numFmtId="44" fontId="0" fillId="0" borderId="78" xfId="3" applyFont="1" applyBorder="1" applyAlignment="1">
      <alignment horizontal="center" vertical="center"/>
    </xf>
    <xf numFmtId="44" fontId="0" fillId="0" borderId="81" xfId="3" applyFont="1" applyBorder="1" applyAlignment="1">
      <alignment horizontal="center" vertical="center"/>
    </xf>
    <xf numFmtId="1" fontId="0" fillId="0" borderId="0" xfId="0" applyNumberFormat="1" applyBorder="1" applyAlignment="1">
      <alignment horizontal="right"/>
    </xf>
    <xf numFmtId="166" fontId="0" fillId="0" borderId="0" xfId="0" applyNumberFormat="1" applyBorder="1" applyAlignment="1">
      <alignment horizontal="center" vertical="center"/>
    </xf>
    <xf numFmtId="1" fontId="1" fillId="0" borderId="29" xfId="0" applyNumberFormat="1" applyFont="1" applyBorder="1" applyAlignment="1"/>
    <xf numFmtId="0" fontId="0" fillId="0" borderId="0" xfId="0"/>
    <xf numFmtId="0" fontId="0" fillId="0" borderId="0" xfId="0" applyAlignment="1">
      <alignment horizontal="center"/>
    </xf>
    <xf numFmtId="165" fontId="0" fillId="0" borderId="35" xfId="3" applyNumberFormat="1" applyFont="1" applyBorder="1"/>
    <xf numFmtId="171" fontId="0" fillId="0" borderId="0" xfId="0" applyNumberFormat="1"/>
    <xf numFmtId="0" fontId="5" fillId="0" borderId="3" xfId="0" applyFont="1" applyFill="1" applyBorder="1" applyAlignment="1">
      <alignment vertical="center"/>
    </xf>
    <xf numFmtId="0" fontId="0" fillId="0" borderId="20" xfId="0" applyFill="1" applyBorder="1" applyAlignment="1">
      <alignment horizontal="center" wrapText="1"/>
    </xf>
    <xf numFmtId="2" fontId="9" fillId="0" borderId="13" xfId="0" applyNumberFormat="1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horizontal="center" vertical="center"/>
    </xf>
    <xf numFmtId="2" fontId="9" fillId="0" borderId="1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6" xfId="0" applyNumberFormat="1" applyFont="1" applyFill="1" applyBorder="1" applyAlignment="1">
      <alignment horizontal="center" vertical="center"/>
    </xf>
    <xf numFmtId="2" fontId="9" fillId="0" borderId="53" xfId="0" applyNumberFormat="1" applyFont="1" applyFill="1" applyBorder="1" applyAlignment="1">
      <alignment horizontal="center" vertical="center"/>
    </xf>
    <xf numFmtId="0" fontId="0" fillId="0" borderId="93" xfId="0" applyBorder="1" applyAlignment="1">
      <alignment horizontal="center"/>
    </xf>
    <xf numFmtId="0" fontId="0" fillId="0" borderId="18" xfId="0" applyBorder="1" applyAlignment="1">
      <alignment horizontal="center"/>
    </xf>
    <xf numFmtId="165" fontId="0" fillId="0" borderId="94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0" fontId="0" fillId="0" borderId="93" xfId="0" applyBorder="1"/>
    <xf numFmtId="165" fontId="0" fillId="0" borderId="18" xfId="0" applyNumberFormat="1" applyBorder="1"/>
    <xf numFmtId="0" fontId="1" fillId="0" borderId="0" xfId="0" applyFont="1"/>
    <xf numFmtId="44" fontId="0" fillId="0" borderId="0" xfId="3" applyFont="1"/>
    <xf numFmtId="164" fontId="0" fillId="0" borderId="0" xfId="0" applyNumberFormat="1" applyAlignment="1">
      <alignment horizontal="center"/>
    </xf>
    <xf numFmtId="0" fontId="14" fillId="0" borderId="0" xfId="0" applyFont="1"/>
    <xf numFmtId="44" fontId="0" fillId="0" borderId="0" xfId="0" applyNumberFormat="1"/>
    <xf numFmtId="165" fontId="0" fillId="0" borderId="36" xfId="3" applyNumberFormat="1" applyFont="1" applyBorder="1"/>
    <xf numFmtId="165" fontId="0" fillId="0" borderId="95" xfId="3" applyNumberFormat="1" applyFont="1" applyBorder="1"/>
    <xf numFmtId="0" fontId="0" fillId="0" borderId="2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5" fillId="0" borderId="0" xfId="0" quotePrefix="1" applyFont="1" applyFill="1" applyAlignment="1">
      <alignment horizontal="right" indent="1"/>
    </xf>
    <xf numFmtId="0" fontId="15" fillId="0" borderId="0" xfId="0" applyFont="1" applyAlignment="1">
      <alignment horizontal="left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right" vertical="center" wrapText="1"/>
    </xf>
    <xf numFmtId="0" fontId="5" fillId="0" borderId="0" xfId="0" quotePrefix="1" applyFont="1" applyFill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0" fillId="3" borderId="27" xfId="0" applyFill="1" applyBorder="1" applyAlignment="1">
      <alignment horizontal="center" wrapText="1"/>
    </xf>
    <xf numFmtId="165" fontId="1" fillId="3" borderId="21" xfId="0" applyNumberFormat="1" applyFont="1" applyFill="1" applyBorder="1"/>
    <xf numFmtId="7" fontId="0" fillId="4" borderId="27" xfId="0" applyNumberFormat="1" applyFill="1" applyBorder="1" applyAlignment="1">
      <alignment horizontal="center" wrapText="1"/>
    </xf>
    <xf numFmtId="5" fontId="1" fillId="4" borderId="21" xfId="0" applyNumberFormat="1" applyFont="1" applyFill="1" applyBorder="1"/>
    <xf numFmtId="4" fontId="0" fillId="0" borderId="41" xfId="0" applyNumberFormat="1" applyBorder="1" applyAlignment="1">
      <alignment horizontal="center"/>
    </xf>
    <xf numFmtId="4" fontId="0" fillId="0" borderId="41" xfId="0" applyNumberFormat="1" applyFill="1" applyBorder="1"/>
    <xf numFmtId="5" fontId="1" fillId="4" borderId="27" xfId="0" applyNumberFormat="1" applyFont="1" applyFill="1" applyBorder="1"/>
    <xf numFmtId="0" fontId="0" fillId="0" borderId="19" xfId="0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5" fontId="0" fillId="0" borderId="100" xfId="0" applyNumberFormat="1" applyFill="1" applyBorder="1"/>
    <xf numFmtId="5" fontId="0" fillId="0" borderId="101" xfId="0" applyNumberFormat="1" applyFill="1" applyBorder="1"/>
    <xf numFmtId="5" fontId="1" fillId="0" borderId="19" xfId="0" applyNumberFormat="1" applyFont="1" applyFill="1" applyBorder="1"/>
    <xf numFmtId="5" fontId="1" fillId="0" borderId="23" xfId="0" applyNumberFormat="1" applyFont="1" applyFill="1" applyBorder="1"/>
    <xf numFmtId="0" fontId="0" fillId="0" borderId="102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28" xfId="0" applyFill="1" applyBorder="1" applyAlignme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5" fontId="1" fillId="0" borderId="97" xfId="0" applyNumberFormat="1" applyFont="1" applyBorder="1"/>
    <xf numFmtId="165" fontId="1" fillId="0" borderId="98" xfId="0" applyNumberFormat="1" applyFont="1" applyBorder="1"/>
    <xf numFmtId="165" fontId="1" fillId="0" borderId="96" xfId="0" applyNumberFormat="1" applyFont="1" applyBorder="1"/>
    <xf numFmtId="0" fontId="0" fillId="0" borderId="0" xfId="0" applyAlignment="1">
      <alignment horizontal="center"/>
    </xf>
    <xf numFmtId="10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9" fillId="0" borderId="63" xfId="0" applyFont="1" applyFill="1" applyBorder="1" applyAlignment="1">
      <alignment horizontal="center" vertical="center"/>
    </xf>
    <xf numFmtId="173" fontId="0" fillId="0" borderId="18" xfId="0" applyNumberFormat="1" applyBorder="1" applyAlignment="1">
      <alignment horizontal="center"/>
    </xf>
    <xf numFmtId="173" fontId="0" fillId="0" borderId="16" xfId="0" applyNumberFormat="1" applyBorder="1" applyAlignment="1">
      <alignment horizontal="center"/>
    </xf>
    <xf numFmtId="0" fontId="17" fillId="0" borderId="0" xfId="5"/>
    <xf numFmtId="0" fontId="17" fillId="5" borderId="0" xfId="5" applyFill="1"/>
    <xf numFmtId="0" fontId="17" fillId="0" borderId="103" xfId="5" applyBorder="1"/>
    <xf numFmtId="0" fontId="17" fillId="0" borderId="104" xfId="5" applyBorder="1"/>
    <xf numFmtId="0" fontId="17" fillId="0" borderId="105" xfId="5" applyBorder="1"/>
    <xf numFmtId="0" fontId="17" fillId="0" borderId="106" xfId="5" applyBorder="1"/>
    <xf numFmtId="0" fontId="17" fillId="0" borderId="107" xfId="5" applyBorder="1"/>
    <xf numFmtId="0" fontId="17" fillId="0" borderId="108" xfId="5" applyBorder="1"/>
    <xf numFmtId="0" fontId="17" fillId="0" borderId="107" xfId="5" applyBorder="1" applyAlignment="1">
      <alignment horizontal="center"/>
    </xf>
    <xf numFmtId="0" fontId="18" fillId="0" borderId="107" xfId="5" applyFont="1" applyBorder="1"/>
    <xf numFmtId="0" fontId="19" fillId="0" borderId="107" xfId="5" applyFont="1" applyBorder="1"/>
    <xf numFmtId="0" fontId="17" fillId="0" borderId="109" xfId="5" applyBorder="1"/>
    <xf numFmtId="0" fontId="17" fillId="0" borderId="110" xfId="5" applyBorder="1"/>
    <xf numFmtId="0" fontId="17" fillId="0" borderId="111" xfId="5" applyBorder="1"/>
    <xf numFmtId="0" fontId="17" fillId="6" borderId="0" xfId="5" applyFill="1"/>
    <xf numFmtId="0" fontId="21" fillId="6" borderId="0" xfId="5" applyFont="1" applyFill="1" applyAlignment="1" applyProtection="1">
      <alignment horizontal="left" indent="1"/>
      <protection locked="0"/>
    </xf>
    <xf numFmtId="0" fontId="22" fillId="6" borderId="0" xfId="5" applyFont="1" applyFill="1" applyAlignment="1" applyProtection="1">
      <alignment horizontal="left"/>
      <protection locked="0"/>
    </xf>
    <xf numFmtId="0" fontId="21" fillId="5" borderId="0" xfId="5" applyFont="1" applyFill="1" applyAlignment="1" applyProtection="1">
      <alignment horizontal="left" indent="1"/>
      <protection locked="0"/>
    </xf>
    <xf numFmtId="0" fontId="23" fillId="6" borderId="0" xfId="5" applyFont="1" applyFill="1" applyAlignment="1" applyProtection="1">
      <alignment horizontal="center"/>
      <protection locked="0"/>
    </xf>
    <xf numFmtId="0" fontId="22" fillId="6" borderId="0" xfId="5" applyFont="1" applyFill="1" applyAlignment="1" applyProtection="1">
      <alignment horizontal="center"/>
      <protection locked="0"/>
    </xf>
    <xf numFmtId="0" fontId="24" fillId="6" borderId="0" xfId="5" applyFont="1" applyFill="1" applyAlignment="1" applyProtection="1">
      <alignment horizontal="center"/>
      <protection locked="0"/>
    </xf>
    <xf numFmtId="0" fontId="25" fillId="6" borderId="0" xfId="5" applyFont="1" applyFill="1" applyAlignment="1">
      <alignment horizontal="center" vertical="center"/>
    </xf>
    <xf numFmtId="0" fontId="22" fillId="6" borderId="47" xfId="5" applyFont="1" applyFill="1" applyBorder="1" applyAlignment="1" applyProtection="1">
      <alignment horizontal="center"/>
      <protection locked="0"/>
    </xf>
    <xf numFmtId="0" fontId="25" fillId="5" borderId="0" xfId="5" applyFont="1" applyFill="1" applyAlignment="1">
      <alignment horizontal="center" vertical="center"/>
    </xf>
    <xf numFmtId="0" fontId="17" fillId="0" borderId="107" xfId="5" quotePrefix="1" applyBorder="1" applyAlignment="1">
      <alignment horizontal="center"/>
    </xf>
    <xf numFmtId="0" fontId="17" fillId="0" borderId="114" xfId="5" applyBorder="1"/>
    <xf numFmtId="0" fontId="17" fillId="0" borderId="122" xfId="5" applyBorder="1"/>
    <xf numFmtId="0" fontId="17" fillId="0" borderId="123" xfId="5" applyBorder="1"/>
    <xf numFmtId="165" fontId="0" fillId="0" borderId="41" xfId="0" applyNumberFormat="1" applyFill="1" applyBorder="1"/>
    <xf numFmtId="5" fontId="0" fillId="0" borderId="58" xfId="0" applyNumberFormat="1" applyFill="1" applyBorder="1"/>
    <xf numFmtId="5" fontId="0" fillId="0" borderId="37" xfId="0" applyNumberFormat="1" applyFill="1" applyBorder="1"/>
    <xf numFmtId="5" fontId="0" fillId="0" borderId="38" xfId="0" applyNumberFormat="1" applyFill="1" applyBorder="1"/>
    <xf numFmtId="165" fontId="1" fillId="0" borderId="27" xfId="0" applyNumberFormat="1" applyFont="1" applyBorder="1" applyAlignment="1">
      <alignment horizontal="center"/>
    </xf>
    <xf numFmtId="7" fontId="0" fillId="0" borderId="0" xfId="0" applyNumberFormat="1" applyBorder="1" applyAlignment="1">
      <alignment wrapText="1"/>
    </xf>
    <xf numFmtId="5" fontId="0" fillId="4" borderId="41" xfId="0" applyNumberFormat="1" applyFill="1" applyBorder="1"/>
    <xf numFmtId="5" fontId="0" fillId="4" borderId="99" xfId="0" applyNumberFormat="1" applyFill="1" applyBorder="1"/>
    <xf numFmtId="4" fontId="0" fillId="0" borderId="37" xfId="0" applyNumberFormat="1" applyFill="1" applyBorder="1"/>
    <xf numFmtId="4" fontId="0" fillId="0" borderId="38" xfId="0" applyNumberFormat="1" applyFill="1" applyBorder="1"/>
    <xf numFmtId="165" fontId="1" fillId="0" borderId="27" xfId="0" applyNumberFormat="1" applyFont="1" applyFill="1" applyBorder="1"/>
    <xf numFmtId="0" fontId="0" fillId="0" borderId="63" xfId="0" applyBorder="1" applyAlignment="1">
      <alignment horizontal="center"/>
    </xf>
    <xf numFmtId="0" fontId="0" fillId="0" borderId="62" xfId="0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50" xfId="0" applyNumberFormat="1" applyBorder="1" applyAlignment="1">
      <alignment horizontal="center"/>
    </xf>
    <xf numFmtId="10" fontId="9" fillId="0" borderId="71" xfId="0" applyNumberFormat="1" applyFont="1" applyFill="1" applyBorder="1" applyAlignment="1">
      <alignment horizontal="center" vertical="center"/>
    </xf>
    <xf numFmtId="2" fontId="9" fillId="0" borderId="71" xfId="0" applyNumberFormat="1" applyFont="1" applyFill="1" applyBorder="1" applyAlignment="1">
      <alignment horizontal="center" vertical="center"/>
    </xf>
    <xf numFmtId="2" fontId="9" fillId="0" borderId="62" xfId="0" applyNumberFormat="1" applyFont="1" applyFill="1" applyBorder="1" applyAlignment="1">
      <alignment horizontal="center" vertical="center"/>
    </xf>
    <xf numFmtId="2" fontId="9" fillId="0" borderId="63" xfId="0" applyNumberFormat="1" applyFont="1" applyFill="1" applyBorder="1" applyAlignment="1">
      <alignment horizontal="center" vertical="center"/>
    </xf>
    <xf numFmtId="2" fontId="9" fillId="0" borderId="136" xfId="0" applyNumberFormat="1" applyFont="1" applyFill="1" applyBorder="1" applyAlignment="1">
      <alignment horizontal="center" vertical="center"/>
    </xf>
    <xf numFmtId="1" fontId="9" fillId="0" borderId="14" xfId="0" applyNumberFormat="1" applyFont="1" applyFill="1" applyBorder="1" applyAlignment="1">
      <alignment horizontal="center" vertical="center"/>
    </xf>
    <xf numFmtId="1" fontId="9" fillId="0" borderId="15" xfId="0" applyNumberFormat="1" applyFont="1" applyFill="1" applyBorder="1" applyAlignment="1">
      <alignment horizontal="center" vertical="center"/>
    </xf>
    <xf numFmtId="165" fontId="9" fillId="0" borderId="46" xfId="0" applyNumberFormat="1" applyFont="1" applyFill="1" applyBorder="1" applyAlignment="1">
      <alignment horizontal="center" vertical="center"/>
    </xf>
    <xf numFmtId="165" fontId="9" fillId="0" borderId="43" xfId="0" applyNumberFormat="1" applyFont="1" applyFill="1" applyBorder="1" applyAlignment="1">
      <alignment horizontal="center" vertical="center"/>
    </xf>
    <xf numFmtId="168" fontId="0" fillId="0" borderId="2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0" xfId="0" applyBorder="1" applyAlignment="1">
      <alignment horizontal="left" vertical="top"/>
    </xf>
    <xf numFmtId="166" fontId="0" fillId="0" borderId="0" xfId="0" applyNumberFormat="1" applyBorder="1" applyAlignment="1">
      <alignment horizontal="left"/>
    </xf>
    <xf numFmtId="9" fontId="0" fillId="0" borderId="0" xfId="1" applyFont="1" applyFill="1" applyBorder="1" applyAlignment="1">
      <alignment horizontal="center"/>
    </xf>
    <xf numFmtId="168" fontId="0" fillId="0" borderId="1" xfId="0" applyNumberFormat="1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37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46" xfId="0" applyBorder="1" applyAlignment="1">
      <alignment vertical="top"/>
    </xf>
    <xf numFmtId="0" fontId="0" fillId="0" borderId="5" xfId="0" applyBorder="1" applyAlignment="1">
      <alignment horizontal="center" vertical="top"/>
    </xf>
    <xf numFmtId="0" fontId="0" fillId="0" borderId="138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50" xfId="0" applyBorder="1" applyAlignment="1">
      <alignment vertical="top"/>
    </xf>
    <xf numFmtId="0" fontId="0" fillId="0" borderId="10" xfId="0" applyBorder="1" applyAlignment="1">
      <alignment horizontal="center" vertical="top"/>
    </xf>
    <xf numFmtId="0" fontId="0" fillId="0" borderId="139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3" xfId="0" applyBorder="1" applyAlignment="1">
      <alignment vertical="top"/>
    </xf>
    <xf numFmtId="0" fontId="0" fillId="0" borderId="13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65" fontId="0" fillId="0" borderId="50" xfId="0" applyNumberFormat="1" applyBorder="1" applyAlignment="1">
      <alignment vertical="top"/>
    </xf>
    <xf numFmtId="165" fontId="0" fillId="0" borderId="60" xfId="0" applyNumberFormat="1" applyBorder="1" applyAlignment="1">
      <alignment horizontal="center" vertical="top"/>
    </xf>
    <xf numFmtId="165" fontId="0" fillId="2" borderId="21" xfId="0" applyNumberFormat="1" applyFill="1" applyBorder="1" applyAlignment="1">
      <alignment horizontal="center" vertical="top"/>
    </xf>
    <xf numFmtId="165" fontId="0" fillId="0" borderId="50" xfId="0" applyNumberFormat="1" applyBorder="1" applyAlignment="1">
      <alignment horizontal="center" vertical="top"/>
    </xf>
    <xf numFmtId="0" fontId="0" fillId="0" borderId="63" xfId="0" applyBorder="1" applyAlignment="1">
      <alignment horizontal="center" vertical="top"/>
    </xf>
    <xf numFmtId="165" fontId="0" fillId="0" borderId="26" xfId="0" applyNumberFormat="1" applyBorder="1" applyAlignment="1">
      <alignment horizontal="center" vertical="top"/>
    </xf>
    <xf numFmtId="0" fontId="0" fillId="0" borderId="74" xfId="0" applyBorder="1" applyAlignment="1">
      <alignment horizontal="center" vertical="top"/>
    </xf>
    <xf numFmtId="168" fontId="0" fillId="0" borderId="71" xfId="0" applyNumberFormat="1" applyBorder="1" applyAlignment="1">
      <alignment horizontal="center" vertical="top"/>
    </xf>
    <xf numFmtId="165" fontId="0" fillId="3" borderId="41" xfId="0" applyNumberFormat="1" applyFill="1" applyBorder="1"/>
    <xf numFmtId="165" fontId="1" fillId="3" borderId="20" xfId="0" applyNumberFormat="1" applyFont="1" applyFill="1" applyBorder="1"/>
    <xf numFmtId="165" fontId="0" fillId="3" borderId="99" xfId="0" applyNumberFormat="1" applyFill="1" applyBorder="1"/>
    <xf numFmtId="4" fontId="0" fillId="0" borderId="37" xfId="0" applyNumberFormat="1" applyBorder="1"/>
    <xf numFmtId="4" fontId="0" fillId="0" borderId="38" xfId="0" applyNumberFormat="1" applyBorder="1"/>
    <xf numFmtId="0" fontId="19" fillId="0" borderId="122" xfId="5" applyFont="1" applyBorder="1" applyAlignment="1">
      <alignment horizontal="right"/>
    </xf>
    <xf numFmtId="0" fontId="0" fillId="0" borderId="27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44" fontId="0" fillId="0" borderId="0" xfId="3" applyFont="1" applyAlignment="1">
      <alignment horizontal="left" indent="1"/>
    </xf>
    <xf numFmtId="166" fontId="0" fillId="0" borderId="0" xfId="3" applyNumberFormat="1" applyFont="1" applyAlignment="1">
      <alignment horizontal="left" indent="1"/>
    </xf>
    <xf numFmtId="0" fontId="4" fillId="0" borderId="0" xfId="0" applyFont="1" applyAlignment="1">
      <alignment horizontal="center"/>
    </xf>
    <xf numFmtId="0" fontId="5" fillId="0" borderId="3" xfId="0" applyFont="1" applyFill="1" applyBorder="1" applyAlignment="1">
      <alignment vertical="center"/>
    </xf>
    <xf numFmtId="0" fontId="9" fillId="0" borderId="25" xfId="0" applyFon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0" fontId="17" fillId="0" borderId="122" xfId="5" applyFill="1" applyBorder="1"/>
    <xf numFmtId="7" fontId="0" fillId="0" borderId="0" xfId="3" applyNumberFormat="1" applyFont="1" applyFill="1"/>
    <xf numFmtId="0" fontId="17" fillId="0" borderId="107" xfId="5" applyFont="1" applyBorder="1"/>
    <xf numFmtId="0" fontId="17" fillId="0" borderId="107" xfId="5" applyBorder="1" applyAlignment="1">
      <alignment horizontal="left"/>
    </xf>
    <xf numFmtId="0" fontId="4" fillId="0" borderId="0" xfId="0" applyFont="1" applyAlignment="1">
      <alignment horizontal="center"/>
    </xf>
    <xf numFmtId="172" fontId="16" fillId="0" borderId="0" xfId="0" applyNumberFormat="1" applyFont="1" applyAlignment="1">
      <alignment horizontal="center"/>
    </xf>
    <xf numFmtId="39" fontId="0" fillId="0" borderId="49" xfId="0" applyNumberFormat="1" applyBorder="1" applyAlignment="1"/>
    <xf numFmtId="0" fontId="0" fillId="0" borderId="50" xfId="0" applyBorder="1" applyAlignment="1"/>
    <xf numFmtId="39" fontId="0" fillId="0" borderId="51" xfId="0" applyNumberFormat="1" applyBorder="1" applyAlignment="1"/>
    <xf numFmtId="0" fontId="0" fillId="0" borderId="52" xfId="0" applyBorder="1" applyAlignment="1"/>
    <xf numFmtId="39" fontId="8" fillId="0" borderId="2" xfId="0" applyNumberFormat="1" applyFont="1" applyBorder="1" applyAlignment="1">
      <alignment horizontal="center"/>
    </xf>
    <xf numFmtId="39" fontId="8" fillId="0" borderId="3" xfId="0" applyNumberFormat="1" applyFont="1" applyBorder="1" applyAlignment="1">
      <alignment horizontal="center"/>
    </xf>
    <xf numFmtId="39" fontId="8" fillId="0" borderId="4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1" xfId="0" applyBorder="1" applyAlignment="1">
      <alignment horizontal="center"/>
    </xf>
    <xf numFmtId="0" fontId="5" fillId="0" borderId="0" xfId="0" applyFont="1" applyAlignment="1">
      <alignment horizontal="left" vertical="top" wrapText="1"/>
    </xf>
    <xf numFmtId="39" fontId="0" fillId="0" borderId="44" xfId="0" applyNumberFormat="1" applyBorder="1" applyAlignment="1"/>
    <xf numFmtId="0" fontId="0" fillId="0" borderId="46" xfId="0" applyBorder="1" applyAlignment="1"/>
    <xf numFmtId="0" fontId="4" fillId="0" borderId="20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44" fontId="17" fillId="0" borderId="132" xfId="3" applyFont="1" applyBorder="1" applyAlignment="1">
      <alignment horizontal="center"/>
    </xf>
    <xf numFmtId="44" fontId="17" fillId="0" borderId="133" xfId="3" applyFont="1" applyBorder="1" applyAlignment="1">
      <alignment horizontal="center"/>
    </xf>
    <xf numFmtId="44" fontId="17" fillId="0" borderId="128" xfId="3" applyFont="1" applyBorder="1" applyAlignment="1">
      <alignment horizontal="center"/>
    </xf>
    <xf numFmtId="44" fontId="17" fillId="0" borderId="130" xfId="3" applyFont="1" applyBorder="1" applyAlignment="1">
      <alignment horizontal="center"/>
    </xf>
    <xf numFmtId="44" fontId="17" fillId="0" borderId="134" xfId="3" applyFont="1" applyBorder="1" applyAlignment="1">
      <alignment horizontal="center"/>
    </xf>
    <xf numFmtId="44" fontId="17" fillId="0" borderId="135" xfId="3" applyFont="1" applyBorder="1" applyAlignment="1">
      <alignment horizontal="center"/>
    </xf>
    <xf numFmtId="0" fontId="19" fillId="0" borderId="125" xfId="5" applyFont="1" applyBorder="1" applyAlignment="1">
      <alignment horizontal="center" vertical="center"/>
    </xf>
    <xf numFmtId="0" fontId="17" fillId="0" borderId="125" xfId="5" applyBorder="1" applyAlignment="1">
      <alignment horizontal="center" vertical="center"/>
    </xf>
    <xf numFmtId="0" fontId="17" fillId="0" borderId="126" xfId="5" applyBorder="1" applyAlignment="1">
      <alignment horizontal="center" vertical="center"/>
    </xf>
    <xf numFmtId="0" fontId="17" fillId="0" borderId="130" xfId="5" applyBorder="1" applyAlignment="1">
      <alignment horizontal="center" vertical="center"/>
    </xf>
    <xf numFmtId="0" fontId="17" fillId="0" borderId="131" xfId="5" applyBorder="1" applyAlignment="1">
      <alignment horizontal="center" vertical="center"/>
    </xf>
    <xf numFmtId="44" fontId="17" fillId="0" borderId="125" xfId="3" applyFont="1" applyBorder="1" applyAlignment="1">
      <alignment horizontal="center"/>
    </xf>
    <xf numFmtId="44" fontId="17" fillId="0" borderId="126" xfId="3" applyFont="1" applyBorder="1" applyAlignment="1">
      <alignment horizontal="center"/>
    </xf>
    <xf numFmtId="0" fontId="0" fillId="0" borderId="130" xfId="0" applyBorder="1" applyAlignment="1">
      <alignment horizontal="center"/>
    </xf>
    <xf numFmtId="0" fontId="0" fillId="0" borderId="128" xfId="0" applyBorder="1" applyAlignment="1">
      <alignment horizontal="center"/>
    </xf>
    <xf numFmtId="0" fontId="0" fillId="0" borderId="129" xfId="0" applyBorder="1" applyAlignment="1">
      <alignment horizontal="center"/>
    </xf>
    <xf numFmtId="0" fontId="0" fillId="0" borderId="127" xfId="0" applyBorder="1" applyAlignment="1">
      <alignment horizontal="center"/>
    </xf>
    <xf numFmtId="171" fontId="17" fillId="0" borderId="112" xfId="5" applyNumberFormat="1" applyBorder="1" applyAlignment="1">
      <alignment horizontal="center"/>
    </xf>
    <xf numFmtId="171" fontId="17" fillId="0" borderId="113" xfId="5" applyNumberFormat="1" applyBorder="1" applyAlignment="1">
      <alignment horizontal="center"/>
    </xf>
    <xf numFmtId="171" fontId="17" fillId="0" borderId="114" xfId="5" applyNumberFormat="1" applyBorder="1" applyAlignment="1">
      <alignment horizontal="center"/>
    </xf>
    <xf numFmtId="0" fontId="17" fillId="0" borderId="113" xfId="5" applyBorder="1" applyAlignment="1">
      <alignment horizontal="center"/>
    </xf>
    <xf numFmtId="0" fontId="17" fillId="0" borderId="114" xfId="5" applyBorder="1" applyAlignment="1">
      <alignment horizontal="center"/>
    </xf>
    <xf numFmtId="0" fontId="0" fillId="0" borderId="124" xfId="0" applyBorder="1" applyAlignment="1">
      <alignment horizontal="center" vertical="center" wrapText="1"/>
    </xf>
    <xf numFmtId="0" fontId="0" fillId="0" borderId="125" xfId="0" applyBorder="1" applyAlignment="1">
      <alignment horizontal="center" vertical="center" wrapText="1"/>
    </xf>
    <xf numFmtId="0" fontId="0" fillId="0" borderId="129" xfId="0" applyBorder="1" applyAlignment="1">
      <alignment horizontal="center" vertical="center" wrapText="1"/>
    </xf>
    <xf numFmtId="0" fontId="0" fillId="0" borderId="130" xfId="0" applyBorder="1" applyAlignment="1">
      <alignment horizontal="center" vertical="center" wrapText="1"/>
    </xf>
    <xf numFmtId="0" fontId="0" fillId="0" borderId="124" xfId="0" applyBorder="1" applyAlignment="1">
      <alignment horizontal="center"/>
    </xf>
    <xf numFmtId="0" fontId="0" fillId="0" borderId="125" xfId="0" applyBorder="1" applyAlignment="1">
      <alignment horizontal="center"/>
    </xf>
    <xf numFmtId="175" fontId="17" fillId="0" borderId="112" xfId="3" applyNumberFormat="1" applyFont="1" applyBorder="1" applyAlignment="1">
      <alignment horizontal="center"/>
    </xf>
    <xf numFmtId="175" fontId="17" fillId="0" borderId="113" xfId="3" applyNumberFormat="1" applyFont="1" applyBorder="1" applyAlignment="1">
      <alignment horizontal="center"/>
    </xf>
    <xf numFmtId="175" fontId="17" fillId="0" borderId="114" xfId="3" applyNumberFormat="1" applyFont="1" applyBorder="1" applyAlignment="1">
      <alignment horizontal="center"/>
    </xf>
    <xf numFmtId="44" fontId="17" fillId="0" borderId="112" xfId="3" applyFont="1" applyBorder="1" applyAlignment="1">
      <alignment horizontal="center"/>
    </xf>
    <xf numFmtId="44" fontId="17" fillId="0" borderId="113" xfId="3" applyFont="1" applyBorder="1" applyAlignment="1">
      <alignment horizontal="center"/>
    </xf>
    <xf numFmtId="44" fontId="17" fillId="0" borderId="114" xfId="3" applyFont="1" applyBorder="1" applyAlignment="1">
      <alignment horizontal="center"/>
    </xf>
    <xf numFmtId="0" fontId="17" fillId="0" borderId="112" xfId="5" applyBorder="1" applyAlignment="1">
      <alignment horizontal="center"/>
    </xf>
    <xf numFmtId="0" fontId="27" fillId="0" borderId="118" xfId="5" applyFont="1" applyBorder="1" applyAlignment="1">
      <alignment horizontal="center" vertical="center"/>
    </xf>
    <xf numFmtId="0" fontId="27" fillId="0" borderId="119" xfId="5" applyFont="1" applyBorder="1" applyAlignment="1">
      <alignment horizontal="center" vertical="center"/>
    </xf>
    <xf numFmtId="0" fontId="27" fillId="0" borderId="120" xfId="5" applyFont="1" applyBorder="1" applyAlignment="1">
      <alignment horizontal="center" vertical="center"/>
    </xf>
    <xf numFmtId="0" fontId="27" fillId="0" borderId="115" xfId="5" applyFont="1" applyBorder="1" applyAlignment="1">
      <alignment horizontal="center" vertical="center"/>
    </xf>
    <xf numFmtId="0" fontId="27" fillId="0" borderId="116" xfId="5" applyFont="1" applyBorder="1" applyAlignment="1">
      <alignment horizontal="center" vertical="center"/>
    </xf>
    <xf numFmtId="0" fontId="27" fillId="0" borderId="117" xfId="5" applyFont="1" applyBorder="1" applyAlignment="1">
      <alignment horizontal="center" vertical="center"/>
    </xf>
    <xf numFmtId="0" fontId="24" fillId="6" borderId="0" xfId="5" applyFont="1" applyFill="1" applyAlignment="1" applyProtection="1">
      <alignment horizontal="center"/>
      <protection locked="0"/>
    </xf>
    <xf numFmtId="0" fontId="26" fillId="6" borderId="0" xfId="5" applyFont="1" applyFill="1" applyAlignment="1" applyProtection="1">
      <alignment horizontal="center"/>
      <protection locked="0"/>
    </xf>
    <xf numFmtId="0" fontId="20" fillId="6" borderId="47" xfId="5" applyFont="1" applyFill="1" applyBorder="1" applyAlignment="1" applyProtection="1">
      <alignment horizontal="center"/>
      <protection locked="0"/>
    </xf>
    <xf numFmtId="14" fontId="20" fillId="6" borderId="47" xfId="5" applyNumberFormat="1" applyFont="1" applyFill="1" applyBorder="1" applyAlignment="1" applyProtection="1">
      <alignment horizontal="center"/>
      <protection locked="0"/>
    </xf>
    <xf numFmtId="0" fontId="19" fillId="0" borderId="47" xfId="5" applyFont="1" applyBorder="1" applyAlignment="1">
      <alignment horizontal="center"/>
    </xf>
    <xf numFmtId="174" fontId="20" fillId="6" borderId="47" xfId="5" applyNumberFormat="1" applyFont="1" applyFill="1" applyBorder="1" applyAlignment="1" applyProtection="1">
      <alignment horizontal="center"/>
      <protection locked="0"/>
    </xf>
    <xf numFmtId="0" fontId="20" fillId="6" borderId="67" xfId="5" applyFont="1" applyFill="1" applyBorder="1" applyAlignment="1" applyProtection="1">
      <alignment horizontal="left"/>
      <protection locked="0"/>
    </xf>
    <xf numFmtId="0" fontId="21" fillId="6" borderId="75" xfId="5" applyFont="1" applyFill="1" applyBorder="1" applyAlignment="1" applyProtection="1">
      <alignment horizontal="left" indent="1"/>
      <protection locked="0"/>
    </xf>
    <xf numFmtId="165" fontId="0" fillId="0" borderId="112" xfId="0" applyNumberFormat="1" applyFill="1" applyBorder="1" applyAlignment="1">
      <alignment horizontal="center"/>
    </xf>
    <xf numFmtId="165" fontId="0" fillId="0" borderId="113" xfId="0" applyNumberFormat="1" applyFill="1" applyBorder="1" applyAlignment="1">
      <alignment horizontal="center"/>
    </xf>
    <xf numFmtId="165" fontId="0" fillId="0" borderId="114" xfId="0" applyNumberFormat="1" applyFill="1" applyBorder="1" applyAlignment="1">
      <alignment horizontal="center"/>
    </xf>
    <xf numFmtId="0" fontId="0" fillId="0" borderId="118" xfId="0" applyBorder="1" applyAlignment="1">
      <alignment horizontal="center" vertical="center" wrapText="1"/>
    </xf>
    <xf numFmtId="0" fontId="0" fillId="0" borderId="119" xfId="0" applyBorder="1" applyAlignment="1">
      <alignment horizontal="center" vertical="center" wrapText="1"/>
    </xf>
    <xf numFmtId="0" fontId="0" fillId="0" borderId="120" xfId="0" applyBorder="1" applyAlignment="1">
      <alignment horizontal="center" vertical="center" wrapText="1"/>
    </xf>
    <xf numFmtId="0" fontId="0" fillId="0" borderId="14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1" xfId="0" applyBorder="1" applyAlignment="1">
      <alignment horizontal="center" vertical="center" wrapText="1"/>
    </xf>
    <xf numFmtId="0" fontId="0" fillId="0" borderId="115" xfId="0" applyBorder="1" applyAlignment="1">
      <alignment horizontal="center" vertical="center" wrapText="1"/>
    </xf>
    <xf numFmtId="0" fontId="0" fillId="0" borderId="116" xfId="0" applyBorder="1" applyAlignment="1">
      <alignment horizontal="center" vertical="center" wrapText="1"/>
    </xf>
    <xf numFmtId="0" fontId="0" fillId="0" borderId="117" xfId="0" applyBorder="1" applyAlignment="1">
      <alignment horizontal="center" vertical="center" wrapText="1"/>
    </xf>
    <xf numFmtId="0" fontId="17" fillId="0" borderId="118" xfId="5" applyBorder="1" applyAlignment="1">
      <alignment horizontal="left" vertical="top" wrapText="1"/>
    </xf>
    <xf numFmtId="0" fontId="17" fillId="0" borderId="119" xfId="5" applyBorder="1" applyAlignment="1">
      <alignment horizontal="left" vertical="top" wrapText="1"/>
    </xf>
    <xf numFmtId="0" fontId="17" fillId="0" borderId="120" xfId="5" applyBorder="1" applyAlignment="1">
      <alignment horizontal="left" vertical="top" wrapText="1"/>
    </xf>
    <xf numFmtId="0" fontId="17" fillId="0" borderId="143" xfId="5" applyBorder="1" applyAlignment="1">
      <alignment horizontal="left" vertical="top" wrapText="1"/>
    </xf>
    <xf numFmtId="0" fontId="17" fillId="0" borderId="0" xfId="5" applyBorder="1" applyAlignment="1">
      <alignment horizontal="left" vertical="top" wrapText="1"/>
    </xf>
    <xf numFmtId="0" fontId="17" fillId="0" borderId="121" xfId="5" applyBorder="1" applyAlignment="1">
      <alignment horizontal="left" vertical="top" wrapText="1"/>
    </xf>
    <xf numFmtId="0" fontId="17" fillId="0" borderId="115" xfId="5" applyBorder="1" applyAlignment="1">
      <alignment horizontal="left" vertical="top" wrapText="1"/>
    </xf>
    <xf numFmtId="0" fontId="17" fillId="0" borderId="116" xfId="5" applyBorder="1" applyAlignment="1">
      <alignment horizontal="left" vertical="top" wrapText="1"/>
    </xf>
    <xf numFmtId="0" fontId="17" fillId="0" borderId="117" xfId="5" applyBorder="1" applyAlignment="1">
      <alignment horizontal="left" vertical="top" wrapText="1"/>
    </xf>
    <xf numFmtId="165" fontId="0" fillId="0" borderId="112" xfId="0" applyNumberFormat="1" applyBorder="1" applyAlignment="1">
      <alignment horizontal="center"/>
    </xf>
    <xf numFmtId="165" fontId="0" fillId="0" borderId="113" xfId="0" applyNumberFormat="1" applyBorder="1" applyAlignment="1">
      <alignment horizontal="center"/>
    </xf>
    <xf numFmtId="165" fontId="0" fillId="0" borderId="114" xfId="0" applyNumberFormat="1" applyBorder="1" applyAlignment="1">
      <alignment horizontal="center"/>
    </xf>
    <xf numFmtId="0" fontId="0" fillId="0" borderId="112" xfId="0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0" fontId="0" fillId="0" borderId="114" xfId="0" applyBorder="1" applyAlignment="1">
      <alignment horizontal="center" vertical="center" wrapText="1"/>
    </xf>
    <xf numFmtId="0" fontId="0" fillId="0" borderId="115" xfId="0" applyBorder="1" applyAlignment="1">
      <alignment horizontal="center"/>
    </xf>
    <xf numFmtId="0" fontId="0" fillId="0" borderId="116" xfId="0" applyBorder="1" applyAlignment="1">
      <alignment horizontal="center"/>
    </xf>
    <xf numFmtId="0" fontId="0" fillId="0" borderId="117" xfId="0" applyBorder="1" applyAlignment="1">
      <alignment horizontal="center"/>
    </xf>
    <xf numFmtId="176" fontId="0" fillId="0" borderId="116" xfId="0" applyNumberFormat="1" applyBorder="1" applyAlignment="1">
      <alignment horizontal="center"/>
    </xf>
    <xf numFmtId="176" fontId="0" fillId="0" borderId="117" xfId="0" applyNumberFormat="1" applyBorder="1" applyAlignment="1">
      <alignment horizontal="center"/>
    </xf>
    <xf numFmtId="5" fontId="0" fillId="0" borderId="119" xfId="0" applyNumberFormat="1" applyBorder="1" applyAlignment="1">
      <alignment horizontal="right"/>
    </xf>
    <xf numFmtId="5" fontId="0" fillId="0" borderId="120" xfId="0" applyNumberFormat="1" applyBorder="1" applyAlignment="1">
      <alignment horizontal="right"/>
    </xf>
    <xf numFmtId="171" fontId="0" fillId="0" borderId="116" xfId="0" applyNumberFormat="1" applyBorder="1" applyAlignment="1">
      <alignment horizontal="center"/>
    </xf>
    <xf numFmtId="171" fontId="0" fillId="0" borderId="117" xfId="0" applyNumberFormat="1" applyBorder="1" applyAlignment="1">
      <alignment horizontal="center"/>
    </xf>
    <xf numFmtId="5" fontId="0" fillId="0" borderId="140" xfId="0" applyNumberFormat="1" applyBorder="1" applyAlignment="1">
      <alignment horizontal="right"/>
    </xf>
    <xf numFmtId="5" fontId="0" fillId="0" borderId="141" xfId="0" applyNumberFormat="1" applyBorder="1" applyAlignment="1">
      <alignment horizontal="right"/>
    </xf>
    <xf numFmtId="5" fontId="0" fillId="0" borderId="142" xfId="0" applyNumberFormat="1" applyBorder="1" applyAlignment="1">
      <alignment horizontal="right"/>
    </xf>
    <xf numFmtId="5" fontId="0" fillId="0" borderId="0" xfId="0" applyNumberFormat="1" applyBorder="1" applyAlignment="1">
      <alignment horizontal="right"/>
    </xf>
    <xf numFmtId="5" fontId="0" fillId="0" borderId="121" xfId="0" applyNumberFormat="1" applyBorder="1" applyAlignment="1">
      <alignment horizontal="right"/>
    </xf>
    <xf numFmtId="0" fontId="0" fillId="0" borderId="0" xfId="0" applyAlignment="1">
      <alignment horizontal="left" wrapText="1"/>
    </xf>
    <xf numFmtId="0" fontId="5" fillId="0" borderId="3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0" fillId="0" borderId="17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0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9" fillId="0" borderId="44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64" xfId="0" applyFont="1" applyFill="1" applyBorder="1" applyAlignment="1">
      <alignment horizontal="center" vertical="center"/>
    </xf>
    <xf numFmtId="0" fontId="9" fillId="0" borderId="62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61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 wrapText="1"/>
    </xf>
    <xf numFmtId="0" fontId="9" fillId="0" borderId="71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center" wrapText="1"/>
    </xf>
    <xf numFmtId="0" fontId="0" fillId="0" borderId="29" xfId="0" applyFill="1" applyBorder="1" applyAlignment="1">
      <alignment horizontal="center" wrapText="1"/>
    </xf>
    <xf numFmtId="0" fontId="0" fillId="0" borderId="21" xfId="0" applyFill="1" applyBorder="1" applyAlignment="1">
      <alignment horizont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25" xfId="0" applyFill="1" applyBorder="1" applyAlignment="1">
      <alignment horizontal="center" wrapText="1"/>
    </xf>
    <xf numFmtId="0" fontId="0" fillId="0" borderId="24" xfId="0" applyFill="1" applyBorder="1" applyAlignment="1">
      <alignment horizontal="center" wrapText="1"/>
    </xf>
    <xf numFmtId="0" fontId="0" fillId="0" borderId="26" xfId="0" applyFill="1" applyBorder="1" applyAlignment="1">
      <alignment horizontal="center" wrapText="1"/>
    </xf>
    <xf numFmtId="0" fontId="0" fillId="0" borderId="68" xfId="0" applyBorder="1" applyAlignment="1">
      <alignment horizontal="center" vertical="center" textRotation="90"/>
    </xf>
    <xf numFmtId="0" fontId="0" fillId="0" borderId="70" xfId="0" applyBorder="1" applyAlignment="1">
      <alignment horizontal="center" vertical="center" textRotation="90"/>
    </xf>
    <xf numFmtId="0" fontId="0" fillId="0" borderId="63" xfId="0" applyBorder="1" applyAlignment="1">
      <alignment horizontal="center" vertical="center" textRotation="90"/>
    </xf>
    <xf numFmtId="0" fontId="0" fillId="0" borderId="20" xfId="0" applyBorder="1" applyAlignment="1">
      <alignment horizontal="center"/>
    </xf>
  </cellXfs>
  <cellStyles count="6">
    <cellStyle name="Comma" xfId="2" builtinId="3"/>
    <cellStyle name="Currency" xfId="3" builtinId="4"/>
    <cellStyle name="Normal" xfId="0" builtinId="0"/>
    <cellStyle name="Normal 2" xfId="4" xr:uid="{48844BC6-6E6C-49C9-A3A2-58A5F81E8521}"/>
    <cellStyle name="Normal 3" xfId="5" xr:uid="{ED1E6BA3-28D8-4446-838F-DAFA929CE0EB}"/>
    <cellStyle name="Percent" xfId="1" builtinId="5"/>
  </cellStyles>
  <dxfs count="0"/>
  <tableStyles count="0" defaultTableStyle="TableStyleMedium9" defaultPivotStyle="PivotStyleLight16"/>
  <colors>
    <mruColors>
      <color rgb="FFFF99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jinc.com/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mjinc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mjinc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"/>
  <sheetViews>
    <sheetView view="pageBreakPreview" topLeftCell="A6" zoomScale="85" zoomScaleNormal="85" zoomScaleSheetLayoutView="85" workbookViewId="0">
      <pane ySplit="1515" topLeftCell="A18" activePane="bottomLeft"/>
      <selection activeCell="AA6" sqref="AA1:AD1048576"/>
      <selection pane="bottomLeft" activeCell="AH6" sqref="AH6"/>
    </sheetView>
  </sheetViews>
  <sheetFormatPr defaultRowHeight="15" x14ac:dyDescent="0.25"/>
  <cols>
    <col min="1" max="1" width="11.140625" customWidth="1"/>
    <col min="2" max="2" width="8" customWidth="1"/>
    <col min="3" max="3" width="14.7109375" customWidth="1"/>
    <col min="4" max="4" width="14.7109375" style="267" customWidth="1"/>
    <col min="5" max="5" width="14.7109375" style="216" customWidth="1"/>
    <col min="6" max="6" width="14.7109375" customWidth="1"/>
    <col min="7" max="10" width="14.7109375" style="267" customWidth="1"/>
    <col min="11" max="11" width="14.7109375" customWidth="1"/>
    <col min="12" max="12" width="6.7109375" customWidth="1"/>
    <col min="13" max="13" width="14.7109375" customWidth="1"/>
    <col min="14" max="14" width="6.7109375" customWidth="1"/>
    <col min="15" max="15" width="14.7109375" customWidth="1"/>
    <col min="16" max="16" width="3.85546875" customWidth="1"/>
    <col min="17" max="17" width="14.7109375" customWidth="1"/>
    <col min="18" max="18" width="4.7109375" customWidth="1"/>
    <col min="19" max="19" width="14.7109375" style="18" customWidth="1"/>
    <col min="20" max="20" width="6.7109375" style="18" customWidth="1"/>
    <col min="21" max="21" width="14.7109375" customWidth="1"/>
    <col min="22" max="22" width="6.7109375" style="20" customWidth="1"/>
    <col min="23" max="23" width="14.7109375" customWidth="1"/>
    <col min="24" max="24" width="14.7109375" style="20" customWidth="1"/>
    <col min="25" max="25" width="14.7109375" style="267" customWidth="1"/>
    <col min="26" max="26" width="18.140625" customWidth="1"/>
  </cols>
  <sheetData>
    <row r="1" spans="1:26" s="267" customFormat="1" ht="21" x14ac:dyDescent="0.35">
      <c r="A1" s="433" t="s">
        <v>214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3"/>
      <c r="Y1" s="433"/>
    </row>
    <row r="2" spans="1:26" s="267" customFormat="1" ht="21" x14ac:dyDescent="0.35">
      <c r="A2" s="433" t="s">
        <v>215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</row>
    <row r="3" spans="1:26" s="267" customFormat="1" ht="15.75" x14ac:dyDescent="0.25">
      <c r="A3" s="434">
        <f ca="1">TODAY()</f>
        <v>43886</v>
      </c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</row>
    <row r="4" spans="1:26" ht="16.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7"/>
      <c r="T4" s="17"/>
      <c r="U4" s="12"/>
      <c r="V4" s="19"/>
      <c r="W4" s="12"/>
      <c r="X4" s="19"/>
    </row>
    <row r="5" spans="1:26" ht="21.75" thickBot="1" x14ac:dyDescent="0.4">
      <c r="A5" s="442" t="s">
        <v>15</v>
      </c>
      <c r="B5" s="443"/>
      <c r="C5" s="443"/>
      <c r="D5" s="443"/>
      <c r="E5" s="443"/>
      <c r="F5" s="443"/>
      <c r="G5" s="443"/>
      <c r="H5" s="443"/>
      <c r="I5" s="443"/>
      <c r="J5" s="443"/>
      <c r="K5" s="444"/>
      <c r="L5" s="444"/>
      <c r="M5" s="444"/>
      <c r="N5" s="444"/>
      <c r="O5" s="445"/>
      <c r="P5" s="10"/>
      <c r="Q5" s="449" t="s">
        <v>16</v>
      </c>
      <c r="R5" s="450"/>
      <c r="S5" s="450"/>
      <c r="T5" s="450"/>
      <c r="U5" s="450"/>
      <c r="V5" s="450"/>
      <c r="W5" s="450"/>
      <c r="X5" s="450"/>
      <c r="Y5" s="451"/>
      <c r="Z5" s="320"/>
    </row>
    <row r="6" spans="1:26" ht="75" customHeight="1" thickBot="1" x14ac:dyDescent="0.3">
      <c r="A6" s="32" t="s">
        <v>0</v>
      </c>
      <c r="B6" s="32" t="s">
        <v>22</v>
      </c>
      <c r="C6" s="45" t="s">
        <v>272</v>
      </c>
      <c r="D6" s="45" t="s">
        <v>288</v>
      </c>
      <c r="E6" s="45" t="s">
        <v>279</v>
      </c>
      <c r="F6" s="45" t="s">
        <v>269</v>
      </c>
      <c r="G6" s="45" t="s">
        <v>289</v>
      </c>
      <c r="H6" s="420" t="s">
        <v>287</v>
      </c>
      <c r="I6" s="45" t="s">
        <v>286</v>
      </c>
      <c r="J6" s="46" t="s">
        <v>285</v>
      </c>
      <c r="K6" s="32" t="s">
        <v>284</v>
      </c>
      <c r="L6" s="294" t="s">
        <v>20</v>
      </c>
      <c r="M6" s="305" t="s">
        <v>283</v>
      </c>
      <c r="N6" s="32" t="s">
        <v>21</v>
      </c>
      <c r="O6" s="305" t="s">
        <v>282</v>
      </c>
      <c r="P6" s="16"/>
      <c r="Q6" s="45" t="s">
        <v>263</v>
      </c>
      <c r="R6" s="45"/>
      <c r="S6" s="46" t="s">
        <v>264</v>
      </c>
      <c r="T6" s="272" t="s">
        <v>20</v>
      </c>
      <c r="U6" s="307" t="s">
        <v>265</v>
      </c>
      <c r="V6" s="45" t="s">
        <v>21</v>
      </c>
      <c r="W6" s="307" t="s">
        <v>266</v>
      </c>
      <c r="X6" s="312" t="s">
        <v>211</v>
      </c>
      <c r="Y6" s="313" t="s">
        <v>212</v>
      </c>
    </row>
    <row r="7" spans="1:26" s="267" customFormat="1" ht="15" customHeight="1" x14ac:dyDescent="0.25">
      <c r="A7" s="295">
        <v>2021</v>
      </c>
      <c r="B7" s="296">
        <v>1</v>
      </c>
      <c r="C7" s="108">
        <v>0</v>
      </c>
      <c r="D7" s="108">
        <v>0</v>
      </c>
      <c r="E7" s="108">
        <v>0</v>
      </c>
      <c r="F7" s="108">
        <f>'Crash Costs Summary'!L11</f>
        <v>0</v>
      </c>
      <c r="G7" s="296"/>
      <c r="H7" s="318"/>
      <c r="I7" s="47">
        <v>0</v>
      </c>
      <c r="J7" s="47">
        <v>0</v>
      </c>
      <c r="K7" s="269">
        <f>C7+E7+F7+G7+H7+I7+J7+D7</f>
        <v>0</v>
      </c>
      <c r="L7" s="309">
        <f>1/(1+0.07)^(A7-2018)</f>
        <v>0.81629787689085187</v>
      </c>
      <c r="M7" s="414">
        <f t="shared" ref="M7:M11" si="0">L7*K7</f>
        <v>0</v>
      </c>
      <c r="N7" s="417">
        <f>1/(1+0.03)^(A7-2018)</f>
        <v>0.91514165935315961</v>
      </c>
      <c r="O7" s="416">
        <f t="shared" ref="O7:O11" si="1">N7*K7</f>
        <v>0</v>
      </c>
      <c r="P7" s="16"/>
      <c r="Q7" s="360">
        <f>'Funding Assumptions'!T30</f>
        <v>3815000</v>
      </c>
      <c r="R7" s="362"/>
      <c r="S7" s="361">
        <f>Q7+R7</f>
        <v>3815000</v>
      </c>
      <c r="T7" s="310">
        <f>1/(1+0.07)^(A7-2018)</f>
        <v>0.81629787689085187</v>
      </c>
      <c r="U7" s="366">
        <f t="shared" ref="U7:U11" si="2">T7*S7</f>
        <v>3114176.4003385999</v>
      </c>
      <c r="V7" s="368">
        <f>1/(1+0.03)^(A7-2018)</f>
        <v>0.91514165935315961</v>
      </c>
      <c r="W7" s="367">
        <f t="shared" ref="W7:W11" si="3">V7*S7</f>
        <v>3491265.4304323038</v>
      </c>
      <c r="X7" s="314">
        <f t="shared" ref="X7:X43" si="4">M7-U7</f>
        <v>-3114176.4003385999</v>
      </c>
      <c r="Y7" s="315">
        <f t="shared" ref="Y7:Y43" si="5">O7-W7</f>
        <v>-3491265.4304323038</v>
      </c>
    </row>
    <row r="8" spans="1:26" s="267" customFormat="1" ht="15" customHeight="1" x14ac:dyDescent="0.25">
      <c r="A8" s="297">
        <f>A7+1</f>
        <v>2022</v>
      </c>
      <c r="B8" s="298">
        <f>B7+1</f>
        <v>2</v>
      </c>
      <c r="C8" s="108">
        <v>0</v>
      </c>
      <c r="D8" s="108">
        <v>0</v>
      </c>
      <c r="E8" s="108">
        <v>0</v>
      </c>
      <c r="F8" s="108">
        <f>'Crash Costs Summary'!L12</f>
        <v>0</v>
      </c>
      <c r="G8" s="298"/>
      <c r="H8" s="319"/>
      <c r="I8" s="47">
        <v>0</v>
      </c>
      <c r="J8" s="47">
        <v>0</v>
      </c>
      <c r="K8" s="269">
        <f>C8+E8+F8+G8+H8+I8+J8+D8</f>
        <v>0</v>
      </c>
      <c r="L8" s="309">
        <f>1/(1+0.07)^(A8-2018)</f>
        <v>0.7628952120475252</v>
      </c>
      <c r="M8" s="414">
        <f t="shared" si="0"/>
        <v>0</v>
      </c>
      <c r="N8" s="418">
        <f>1/(1+0.03)^(A8-2018)</f>
        <v>0.888487047915689</v>
      </c>
      <c r="O8" s="416">
        <f t="shared" si="1"/>
        <v>0</v>
      </c>
      <c r="P8" s="16"/>
      <c r="Q8" s="360">
        <f>'Funding Assumptions'!T31</f>
        <v>3815000</v>
      </c>
      <c r="R8" s="363"/>
      <c r="S8" s="361">
        <f t="shared" ref="S8:S43" si="6">Q8+R8</f>
        <v>3815000</v>
      </c>
      <c r="T8" s="310">
        <f t="shared" ref="T8:T43" si="7">1/(1+0.07)^(A8-2018)</f>
        <v>0.7628952120475252</v>
      </c>
      <c r="U8" s="366">
        <f t="shared" si="2"/>
        <v>2910445.2339613088</v>
      </c>
      <c r="V8" s="369">
        <f t="shared" ref="V8:V43" si="8">1/(1+0.03)^(A8-2018)</f>
        <v>0.888487047915689</v>
      </c>
      <c r="W8" s="367">
        <f t="shared" si="3"/>
        <v>3389578.0877983538</v>
      </c>
      <c r="X8" s="314">
        <f t="shared" si="4"/>
        <v>-2910445.2339613088</v>
      </c>
      <c r="Y8" s="315">
        <f t="shared" si="5"/>
        <v>-3389578.0877983538</v>
      </c>
    </row>
    <row r="9" spans="1:26" s="267" customFormat="1" ht="15" customHeight="1" x14ac:dyDescent="0.25">
      <c r="A9" s="297">
        <f t="shared" ref="A9:A13" si="9">A8+1</f>
        <v>2023</v>
      </c>
      <c r="B9" s="298">
        <f t="shared" ref="B9:B12" si="10">B8+1</f>
        <v>3</v>
      </c>
      <c r="C9" s="108">
        <v>0</v>
      </c>
      <c r="D9" s="108">
        <v>0</v>
      </c>
      <c r="E9" s="108">
        <v>0</v>
      </c>
      <c r="F9" s="108">
        <f>'Crash Costs Summary'!L13</f>
        <v>0</v>
      </c>
      <c r="G9" s="298"/>
      <c r="H9" s="319"/>
      <c r="I9" s="47">
        <v>0</v>
      </c>
      <c r="J9" s="47">
        <v>0</v>
      </c>
      <c r="K9" s="269">
        <f t="shared" ref="K9:K43" si="11">C9+E9+F9+G9+H9+I9+J9+D9</f>
        <v>0</v>
      </c>
      <c r="L9" s="309">
        <f t="shared" ref="L9:L43" si="12">1/(1+0.07)^(A9-2018)</f>
        <v>0.71298617948366838</v>
      </c>
      <c r="M9" s="414">
        <f t="shared" si="0"/>
        <v>0</v>
      </c>
      <c r="N9" s="418">
        <f t="shared" ref="N9:N43" si="13">1/(1+0.03)^(A9-2018)</f>
        <v>0.86260878438416411</v>
      </c>
      <c r="O9" s="416">
        <f t="shared" si="1"/>
        <v>0</v>
      </c>
      <c r="P9" s="16"/>
      <c r="Q9" s="360">
        <f>'Funding Assumptions'!T32</f>
        <v>32365000</v>
      </c>
      <c r="R9" s="363"/>
      <c r="S9" s="361">
        <f t="shared" si="6"/>
        <v>32365000</v>
      </c>
      <c r="T9" s="310">
        <f t="shared" si="7"/>
        <v>0.71298617948366838</v>
      </c>
      <c r="U9" s="366">
        <f t="shared" si="2"/>
        <v>23075797.698988926</v>
      </c>
      <c r="V9" s="369">
        <f t="shared" si="8"/>
        <v>0.86260878438416411</v>
      </c>
      <c r="W9" s="367">
        <f t="shared" si="3"/>
        <v>27918333.30659347</v>
      </c>
      <c r="X9" s="314">
        <f t="shared" si="4"/>
        <v>-23075797.698988926</v>
      </c>
      <c r="Y9" s="315">
        <f t="shared" si="5"/>
        <v>-27918333.30659347</v>
      </c>
    </row>
    <row r="10" spans="1:26" s="267" customFormat="1" ht="15" customHeight="1" x14ac:dyDescent="0.25">
      <c r="A10" s="297">
        <f t="shared" si="9"/>
        <v>2024</v>
      </c>
      <c r="B10" s="298">
        <f t="shared" si="10"/>
        <v>4</v>
      </c>
      <c r="C10" s="108">
        <v>0</v>
      </c>
      <c r="D10" s="108">
        <v>0</v>
      </c>
      <c r="E10" s="108">
        <v>0</v>
      </c>
      <c r="F10" s="108">
        <f>'Crash Costs Summary'!L14</f>
        <v>0</v>
      </c>
      <c r="G10" s="298"/>
      <c r="H10" s="319"/>
      <c r="I10" s="47">
        <v>0</v>
      </c>
      <c r="J10" s="47">
        <v>0</v>
      </c>
      <c r="K10" s="269">
        <f t="shared" si="11"/>
        <v>0</v>
      </c>
      <c r="L10" s="309">
        <f t="shared" si="12"/>
        <v>0.66634222381651254</v>
      </c>
      <c r="M10" s="414">
        <f t="shared" si="0"/>
        <v>0</v>
      </c>
      <c r="N10" s="418">
        <f t="shared" si="13"/>
        <v>0.83748425668365445</v>
      </c>
      <c r="O10" s="416">
        <f t="shared" si="1"/>
        <v>0</v>
      </c>
      <c r="P10" s="16"/>
      <c r="Q10" s="360">
        <f>'Funding Assumptions'!T33</f>
        <v>32365000</v>
      </c>
      <c r="R10" s="363"/>
      <c r="S10" s="361">
        <f t="shared" si="6"/>
        <v>32365000</v>
      </c>
      <c r="T10" s="310">
        <f t="shared" si="7"/>
        <v>0.66634222381651254</v>
      </c>
      <c r="U10" s="366">
        <f t="shared" si="2"/>
        <v>21566166.073821429</v>
      </c>
      <c r="V10" s="369">
        <f t="shared" si="8"/>
        <v>0.83748425668365445</v>
      </c>
      <c r="W10" s="367">
        <f t="shared" si="3"/>
        <v>27105177.967566475</v>
      </c>
      <c r="X10" s="314">
        <f t="shared" si="4"/>
        <v>-21566166.073821429</v>
      </c>
      <c r="Y10" s="315">
        <f t="shared" si="5"/>
        <v>-27105177.967566475</v>
      </c>
    </row>
    <row r="11" spans="1:26" s="267" customFormat="1" ht="15" customHeight="1" x14ac:dyDescent="0.25">
      <c r="A11" s="297">
        <f t="shared" si="9"/>
        <v>2025</v>
      </c>
      <c r="B11" s="298">
        <f t="shared" si="10"/>
        <v>5</v>
      </c>
      <c r="C11" s="108">
        <v>0</v>
      </c>
      <c r="D11" s="108">
        <v>0</v>
      </c>
      <c r="E11" s="108">
        <v>0</v>
      </c>
      <c r="F11" s="108">
        <f>'Crash Costs Summary'!L15</f>
        <v>0</v>
      </c>
      <c r="G11" s="298"/>
      <c r="H11" s="319"/>
      <c r="I11" s="47">
        <v>0</v>
      </c>
      <c r="J11" s="47">
        <v>0</v>
      </c>
      <c r="K11" s="269">
        <f t="shared" si="11"/>
        <v>0</v>
      </c>
      <c r="L11" s="309">
        <f t="shared" si="12"/>
        <v>0.62274974188459109</v>
      </c>
      <c r="M11" s="414">
        <f t="shared" si="0"/>
        <v>0</v>
      </c>
      <c r="N11" s="418">
        <f t="shared" si="13"/>
        <v>0.81309151134335378</v>
      </c>
      <c r="O11" s="416">
        <f t="shared" si="1"/>
        <v>0</v>
      </c>
      <c r="P11" s="16"/>
      <c r="Q11" s="360">
        <f>'Funding Assumptions'!T34</f>
        <v>28550000</v>
      </c>
      <c r="R11" s="363"/>
      <c r="S11" s="361">
        <f t="shared" si="6"/>
        <v>28550000</v>
      </c>
      <c r="T11" s="310">
        <f t="shared" si="7"/>
        <v>0.62274974188459109</v>
      </c>
      <c r="U11" s="366">
        <f t="shared" si="2"/>
        <v>17779505.130805075</v>
      </c>
      <c r="V11" s="369">
        <f t="shared" si="8"/>
        <v>0.81309151134335378</v>
      </c>
      <c r="W11" s="367">
        <f t="shared" si="3"/>
        <v>23213762.648852751</v>
      </c>
      <c r="X11" s="314">
        <f t="shared" si="4"/>
        <v>-17779505.130805075</v>
      </c>
      <c r="Y11" s="315">
        <f t="shared" si="5"/>
        <v>-23213762.648852751</v>
      </c>
    </row>
    <row r="12" spans="1:26" x14ac:dyDescent="0.25">
      <c r="A12" s="297">
        <f t="shared" si="9"/>
        <v>2026</v>
      </c>
      <c r="B12" s="298">
        <f t="shared" si="10"/>
        <v>6</v>
      </c>
      <c r="C12" s="108">
        <v>0</v>
      </c>
      <c r="D12" s="108">
        <v>0</v>
      </c>
      <c r="E12" s="108">
        <v>0</v>
      </c>
      <c r="F12" s="108">
        <f>'Crash Costs Summary'!L16</f>
        <v>0</v>
      </c>
      <c r="G12" s="108"/>
      <c r="H12" s="292"/>
      <c r="I12" s="47">
        <v>0</v>
      </c>
      <c r="J12" s="47">
        <v>0</v>
      </c>
      <c r="K12" s="269">
        <f t="shared" si="11"/>
        <v>0</v>
      </c>
      <c r="L12" s="309">
        <f t="shared" si="12"/>
        <v>0.5820091045650384</v>
      </c>
      <c r="M12" s="414">
        <f t="shared" ref="M12:M20" si="14">L12*K12</f>
        <v>0</v>
      </c>
      <c r="N12" s="418">
        <f t="shared" si="13"/>
        <v>0.78940923431393573</v>
      </c>
      <c r="O12" s="416">
        <f t="shared" ref="O12:O20" si="15">N12*K12</f>
        <v>0</v>
      </c>
      <c r="Q12" s="360">
        <f>'Funding Assumptions'!T35</f>
        <v>28550000</v>
      </c>
      <c r="R12" s="363"/>
      <c r="S12" s="361">
        <f t="shared" si="6"/>
        <v>28550000</v>
      </c>
      <c r="T12" s="310">
        <f t="shared" si="7"/>
        <v>0.5820091045650384</v>
      </c>
      <c r="U12" s="366">
        <f t="shared" ref="U12:U20" si="16">T12*S12</f>
        <v>16616359.935331846</v>
      </c>
      <c r="V12" s="369">
        <f t="shared" si="8"/>
        <v>0.78940923431393573</v>
      </c>
      <c r="W12" s="367">
        <f t="shared" ref="W12:W20" si="17">V12*S12</f>
        <v>22537633.639662866</v>
      </c>
      <c r="X12" s="314">
        <f t="shared" si="4"/>
        <v>-16616359.935331846</v>
      </c>
      <c r="Y12" s="315">
        <f t="shared" si="5"/>
        <v>-22537633.639662866</v>
      </c>
    </row>
    <row r="13" spans="1:26" x14ac:dyDescent="0.25">
      <c r="A13" s="297">
        <f t="shared" si="9"/>
        <v>2027</v>
      </c>
      <c r="B13" s="30">
        <f t="shared" ref="B13:B43" si="18">B12+1</f>
        <v>7</v>
      </c>
      <c r="C13" s="31">
        <f>'Value of Travel Time Table'!E17</f>
        <v>2235382.9077557875</v>
      </c>
      <c r="D13" s="31">
        <f>'Value of Travel Time Table'!I17</f>
        <v>4269166.0747943083</v>
      </c>
      <c r="E13" s="31">
        <f>'Fuel Savings'!D21</f>
        <v>227851.49918436614</v>
      </c>
      <c r="F13" s="108">
        <f>'Crash Costs Summary'!L17</f>
        <v>2196660</v>
      </c>
      <c r="G13" s="108">
        <f>'Avoided Bridge Projects'!AB23</f>
        <v>5775000</v>
      </c>
      <c r="H13" s="292"/>
      <c r="I13" s="47">
        <v>-10000</v>
      </c>
      <c r="J13" s="47">
        <v>5000000</v>
      </c>
      <c r="K13" s="269">
        <f t="shared" si="11"/>
        <v>19694060.481734462</v>
      </c>
      <c r="L13" s="309">
        <f t="shared" si="12"/>
        <v>0.54393374258414806</v>
      </c>
      <c r="M13" s="414">
        <f t="shared" si="14"/>
        <v>10712264.024508396</v>
      </c>
      <c r="N13" s="418">
        <f t="shared" si="13"/>
        <v>0.76641673234362695</v>
      </c>
      <c r="O13" s="416">
        <f t="shared" si="15"/>
        <v>15093857.480988681</v>
      </c>
      <c r="Q13" s="360">
        <f>'Funding Assumptions'!T36</f>
        <v>0</v>
      </c>
      <c r="R13" s="363"/>
      <c r="S13" s="361">
        <f t="shared" si="6"/>
        <v>0</v>
      </c>
      <c r="T13" s="310">
        <f t="shared" si="7"/>
        <v>0.54393374258414806</v>
      </c>
      <c r="U13" s="366">
        <f t="shared" si="16"/>
        <v>0</v>
      </c>
      <c r="V13" s="369">
        <f t="shared" si="8"/>
        <v>0.76641673234362695</v>
      </c>
      <c r="W13" s="367">
        <f t="shared" si="17"/>
        <v>0</v>
      </c>
      <c r="X13" s="314">
        <f t="shared" si="4"/>
        <v>10712264.024508396</v>
      </c>
      <c r="Y13" s="315">
        <f t="shared" si="5"/>
        <v>15093857.480988681</v>
      </c>
    </row>
    <row r="14" spans="1:26" x14ac:dyDescent="0.25">
      <c r="A14" s="29">
        <f t="shared" ref="A14:A16" si="19">1+A13:A13</f>
        <v>2028</v>
      </c>
      <c r="B14" s="30">
        <f t="shared" si="18"/>
        <v>8</v>
      </c>
      <c r="C14" s="31">
        <f>'Value of Travel Time Table'!E18</f>
        <v>2281208.2573647811</v>
      </c>
      <c r="D14" s="31">
        <f>'Value of Travel Time Table'!I18</f>
        <v>4356683.9793275911</v>
      </c>
      <c r="E14" s="31">
        <f>'Fuel Savings'!D22</f>
        <v>229560.3854282489</v>
      </c>
      <c r="F14" s="108">
        <f>'Crash Costs Summary'!L18</f>
        <v>2205816</v>
      </c>
      <c r="G14" s="108">
        <f>'Avoided Bridge Projects'!O39</f>
        <v>4200000</v>
      </c>
      <c r="H14" s="292"/>
      <c r="I14" s="47">
        <v>-10000</v>
      </c>
      <c r="J14" s="47">
        <v>0</v>
      </c>
      <c r="K14" s="269">
        <f t="shared" si="11"/>
        <v>13263268.622120621</v>
      </c>
      <c r="L14" s="309">
        <f t="shared" si="12"/>
        <v>0.5083492921347178</v>
      </c>
      <c r="M14" s="414">
        <f t="shared" si="14"/>
        <v>6742373.2154476317</v>
      </c>
      <c r="N14" s="418">
        <f t="shared" si="13"/>
        <v>0.74409391489672516</v>
      </c>
      <c r="O14" s="416">
        <f t="shared" si="15"/>
        <v>9869117.473360626</v>
      </c>
      <c r="Q14" s="360">
        <f>'Funding Assumptions'!T37</f>
        <v>0</v>
      </c>
      <c r="R14" s="363"/>
      <c r="S14" s="361">
        <f t="shared" si="6"/>
        <v>0</v>
      </c>
      <c r="T14" s="310">
        <f t="shared" si="7"/>
        <v>0.5083492921347178</v>
      </c>
      <c r="U14" s="366">
        <f t="shared" si="16"/>
        <v>0</v>
      </c>
      <c r="V14" s="369">
        <f t="shared" si="8"/>
        <v>0.74409391489672516</v>
      </c>
      <c r="W14" s="367">
        <f t="shared" si="17"/>
        <v>0</v>
      </c>
      <c r="X14" s="314">
        <f t="shared" si="4"/>
        <v>6742373.2154476317</v>
      </c>
      <c r="Y14" s="315">
        <f t="shared" si="5"/>
        <v>9869117.473360626</v>
      </c>
    </row>
    <row r="15" spans="1:26" x14ac:dyDescent="0.25">
      <c r="A15" s="29">
        <f t="shared" si="19"/>
        <v>2029</v>
      </c>
      <c r="B15" s="30">
        <f t="shared" si="18"/>
        <v>9</v>
      </c>
      <c r="C15" s="31">
        <f>'Value of Travel Time Table'!E19</f>
        <v>2327973.0266407588</v>
      </c>
      <c r="D15" s="31">
        <f>'Value of Travel Time Table'!I19</f>
        <v>4445996.0009038066</v>
      </c>
      <c r="E15" s="31">
        <f>'Fuel Savings'!D23</f>
        <v>231282.0883189608</v>
      </c>
      <c r="F15" s="108">
        <f>'Crash Costs Summary'!L19</f>
        <v>2233152</v>
      </c>
      <c r="G15" s="108"/>
      <c r="H15" s="292"/>
      <c r="I15" s="47">
        <v>-10000</v>
      </c>
      <c r="J15" s="47">
        <v>0</v>
      </c>
      <c r="K15" s="269">
        <f t="shared" si="11"/>
        <v>9228403.1158635262</v>
      </c>
      <c r="L15" s="309">
        <f t="shared" si="12"/>
        <v>0.47509279638758667</v>
      </c>
      <c r="M15" s="414">
        <f t="shared" si="14"/>
        <v>4384347.8425075207</v>
      </c>
      <c r="N15" s="418">
        <f t="shared" si="13"/>
        <v>0.72242127659876232</v>
      </c>
      <c r="O15" s="416">
        <f t="shared" si="15"/>
        <v>6666794.7599301245</v>
      </c>
      <c r="Q15" s="360">
        <f>'Funding Assumptions'!T38</f>
        <v>0</v>
      </c>
      <c r="R15" s="363"/>
      <c r="S15" s="361">
        <f t="shared" si="6"/>
        <v>0</v>
      </c>
      <c r="T15" s="310">
        <f t="shared" si="7"/>
        <v>0.47509279638758667</v>
      </c>
      <c r="U15" s="366">
        <f t="shared" si="16"/>
        <v>0</v>
      </c>
      <c r="V15" s="369">
        <f t="shared" si="8"/>
        <v>0.72242127659876232</v>
      </c>
      <c r="W15" s="367">
        <f t="shared" si="17"/>
        <v>0</v>
      </c>
      <c r="X15" s="314">
        <f t="shared" si="4"/>
        <v>4384347.8425075207</v>
      </c>
      <c r="Y15" s="315">
        <f t="shared" si="5"/>
        <v>6666794.7599301245</v>
      </c>
    </row>
    <row r="16" spans="1:26" x14ac:dyDescent="0.25">
      <c r="A16" s="29">
        <f t="shared" si="19"/>
        <v>2030</v>
      </c>
      <c r="B16" s="30">
        <f t="shared" si="18"/>
        <v>10</v>
      </c>
      <c r="C16" s="31">
        <f>'Value of Travel Time Table'!E20</f>
        <v>2375696.4736868944</v>
      </c>
      <c r="D16" s="31">
        <f>'Value of Travel Time Table'!I20</f>
        <v>4537138.9189223349</v>
      </c>
      <c r="E16" s="31">
        <f>'Fuel Savings'!D24</f>
        <v>233016.70398135306</v>
      </c>
      <c r="F16" s="108">
        <f>'Crash Costs Summary'!L20</f>
        <v>2251464</v>
      </c>
      <c r="G16" s="292"/>
      <c r="H16" s="292"/>
      <c r="I16" s="47">
        <v>-10000</v>
      </c>
      <c r="J16" s="47">
        <v>0</v>
      </c>
      <c r="K16" s="269">
        <f t="shared" si="11"/>
        <v>9387316.0965905823</v>
      </c>
      <c r="L16" s="309">
        <f t="shared" si="12"/>
        <v>0.44401195924073528</v>
      </c>
      <c r="M16" s="414">
        <f t="shared" si="14"/>
        <v>4168080.6120592756</v>
      </c>
      <c r="N16" s="418">
        <f t="shared" si="13"/>
        <v>0.70137988019297326</v>
      </c>
      <c r="O16" s="416">
        <f t="shared" si="15"/>
        <v>6584074.6391602717</v>
      </c>
      <c r="Q16" s="360">
        <f>'Funding Assumptions'!T39</f>
        <v>0</v>
      </c>
      <c r="R16" s="363"/>
      <c r="S16" s="361">
        <f t="shared" si="6"/>
        <v>0</v>
      </c>
      <c r="T16" s="310">
        <f t="shared" si="7"/>
        <v>0.44401195924073528</v>
      </c>
      <c r="U16" s="366">
        <f t="shared" si="16"/>
        <v>0</v>
      </c>
      <c r="V16" s="369">
        <f t="shared" si="8"/>
        <v>0.70137988019297326</v>
      </c>
      <c r="W16" s="367">
        <f t="shared" si="17"/>
        <v>0</v>
      </c>
      <c r="X16" s="314">
        <f t="shared" si="4"/>
        <v>4168080.6120592756</v>
      </c>
      <c r="Y16" s="315">
        <f t="shared" si="5"/>
        <v>6584074.6391602717</v>
      </c>
    </row>
    <row r="17" spans="1:25" x14ac:dyDescent="0.25">
      <c r="A17" s="29">
        <f t="shared" ref="A17:A43" si="20">1+A16:A16</f>
        <v>2031</v>
      </c>
      <c r="B17" s="30">
        <f t="shared" si="18"/>
        <v>11</v>
      </c>
      <c r="C17" s="31">
        <f>'Value of Travel Time Table'!E21</f>
        <v>2424398.2513974756</v>
      </c>
      <c r="D17" s="31">
        <f>'Value of Travel Time Table'!I21</f>
        <v>4630150.2667602422</v>
      </c>
      <c r="E17" s="31">
        <f>'Fuel Savings'!D25</f>
        <v>234764.32926121322</v>
      </c>
      <c r="F17" s="108">
        <f>'Crash Costs Summary'!L21</f>
        <v>2260620</v>
      </c>
      <c r="G17" s="292"/>
      <c r="H17" s="292"/>
      <c r="I17" s="47">
        <v>-10000</v>
      </c>
      <c r="J17" s="47">
        <v>0</v>
      </c>
      <c r="K17" s="269">
        <f t="shared" si="11"/>
        <v>9539932.8474189304</v>
      </c>
      <c r="L17" s="309">
        <f t="shared" si="12"/>
        <v>0.41496444788853759</v>
      </c>
      <c r="M17" s="414">
        <f t="shared" si="14"/>
        <v>3958732.9669229207</v>
      </c>
      <c r="N17" s="418">
        <f t="shared" si="13"/>
        <v>0.68095133999317792</v>
      </c>
      <c r="O17" s="416">
        <f t="shared" si="15"/>
        <v>6496230.0558948535</v>
      </c>
      <c r="Q17" s="360">
        <f>'Funding Assumptions'!T40</f>
        <v>0</v>
      </c>
      <c r="R17" s="363"/>
      <c r="S17" s="361">
        <f t="shared" si="6"/>
        <v>0</v>
      </c>
      <c r="T17" s="310">
        <f t="shared" si="7"/>
        <v>0.41496444788853759</v>
      </c>
      <c r="U17" s="366">
        <f t="shared" si="16"/>
        <v>0</v>
      </c>
      <c r="V17" s="369">
        <f t="shared" si="8"/>
        <v>0.68095133999317792</v>
      </c>
      <c r="W17" s="367">
        <f t="shared" si="17"/>
        <v>0</v>
      </c>
      <c r="X17" s="314">
        <f t="shared" si="4"/>
        <v>3958732.9669229207</v>
      </c>
      <c r="Y17" s="315">
        <f t="shared" si="5"/>
        <v>6496230.0558948535</v>
      </c>
    </row>
    <row r="18" spans="1:25" x14ac:dyDescent="0.25">
      <c r="A18" s="29">
        <f t="shared" si="20"/>
        <v>2032</v>
      </c>
      <c r="B18" s="30">
        <f t="shared" si="18"/>
        <v>12</v>
      </c>
      <c r="C18" s="31">
        <f>'Value of Travel Time Table'!E22</f>
        <v>2474098.4155511237</v>
      </c>
      <c r="D18" s="31">
        <f>'Value of Travel Time Table'!I22</f>
        <v>4725068.347228826</v>
      </c>
      <c r="E18" s="31">
        <f>'Fuel Savings'!D26</f>
        <v>236525.06173067234</v>
      </c>
      <c r="F18" s="108">
        <f>'Crash Costs Summary'!L22</f>
        <v>2278844</v>
      </c>
      <c r="G18" s="292"/>
      <c r="H18" s="292"/>
      <c r="I18" s="47">
        <v>-10000</v>
      </c>
      <c r="J18" s="47">
        <v>0</v>
      </c>
      <c r="K18" s="269">
        <f t="shared" si="11"/>
        <v>9704535.8245106228</v>
      </c>
      <c r="L18" s="309">
        <f t="shared" si="12"/>
        <v>0.3878172410173249</v>
      </c>
      <c r="M18" s="414">
        <f t="shared" si="14"/>
        <v>3763586.3088154998</v>
      </c>
      <c r="N18" s="418">
        <f t="shared" si="13"/>
        <v>0.66111780581861923</v>
      </c>
      <c r="O18" s="416">
        <f t="shared" si="15"/>
        <v>6415841.4307886474</v>
      </c>
      <c r="P18" s="2"/>
      <c r="Q18" s="360">
        <f>'Funding Assumptions'!T41</f>
        <v>0</v>
      </c>
      <c r="R18" s="363"/>
      <c r="S18" s="361">
        <f t="shared" si="6"/>
        <v>0</v>
      </c>
      <c r="T18" s="310">
        <f t="shared" si="7"/>
        <v>0.3878172410173249</v>
      </c>
      <c r="U18" s="366">
        <f t="shared" si="16"/>
        <v>0</v>
      </c>
      <c r="V18" s="369">
        <f t="shared" si="8"/>
        <v>0.66111780581861923</v>
      </c>
      <c r="W18" s="367">
        <f t="shared" si="17"/>
        <v>0</v>
      </c>
      <c r="X18" s="314">
        <f t="shared" si="4"/>
        <v>3763586.3088154998</v>
      </c>
      <c r="Y18" s="315">
        <f t="shared" si="5"/>
        <v>6415841.4307886474</v>
      </c>
    </row>
    <row r="19" spans="1:25" x14ac:dyDescent="0.25">
      <c r="A19" s="29">
        <f t="shared" si="20"/>
        <v>2033</v>
      </c>
      <c r="B19" s="30">
        <f t="shared" si="18"/>
        <v>13</v>
      </c>
      <c r="C19" s="31">
        <f>'Value of Travel Time Table'!E23</f>
        <v>2524817.433069922</v>
      </c>
      <c r="D19" s="31">
        <f>'Value of Travel Time Table'!I23</f>
        <v>4821932.248347017</v>
      </c>
      <c r="E19" s="31">
        <f>'Fuel Savings'!D27</f>
        <v>238298.99969365238</v>
      </c>
      <c r="F19" s="108">
        <f>'Crash Costs Summary'!L23</f>
        <v>2292600</v>
      </c>
      <c r="G19" s="292">
        <f>'Avoided Bridge Projects'!O35+'Avoided Bridge Projects'!O36+'Avoided Bridge Projects'!O38</f>
        <v>14100000</v>
      </c>
      <c r="H19" s="292"/>
      <c r="I19" s="47">
        <v>-10000</v>
      </c>
      <c r="J19" s="47">
        <v>0</v>
      </c>
      <c r="K19" s="269">
        <f t="shared" si="11"/>
        <v>23967648.681110594</v>
      </c>
      <c r="L19" s="309">
        <f t="shared" si="12"/>
        <v>0.36244601964235967</v>
      </c>
      <c r="M19" s="414">
        <f t="shared" si="14"/>
        <v>8686978.8646549862</v>
      </c>
      <c r="N19" s="418">
        <f t="shared" si="13"/>
        <v>0.64186194739671765</v>
      </c>
      <c r="O19" s="416">
        <f t="shared" si="15"/>
        <v>15383921.656978017</v>
      </c>
      <c r="P19" s="2"/>
      <c r="Q19" s="360">
        <f>'Funding Assumptions'!T42</f>
        <v>0</v>
      </c>
      <c r="R19" s="363"/>
      <c r="S19" s="361">
        <f t="shared" si="6"/>
        <v>0</v>
      </c>
      <c r="T19" s="310">
        <f t="shared" si="7"/>
        <v>0.36244601964235967</v>
      </c>
      <c r="U19" s="366">
        <f t="shared" si="16"/>
        <v>0</v>
      </c>
      <c r="V19" s="369">
        <f t="shared" si="8"/>
        <v>0.64186194739671765</v>
      </c>
      <c r="W19" s="367">
        <f t="shared" si="17"/>
        <v>0</v>
      </c>
      <c r="X19" s="314">
        <f t="shared" si="4"/>
        <v>8686978.8646549862</v>
      </c>
      <c r="Y19" s="315">
        <f t="shared" si="5"/>
        <v>15383921.656978017</v>
      </c>
    </row>
    <row r="20" spans="1:25" x14ac:dyDescent="0.25">
      <c r="A20" s="29">
        <f t="shared" si="20"/>
        <v>2034</v>
      </c>
      <c r="B20" s="30">
        <f t="shared" si="18"/>
        <v>14</v>
      </c>
      <c r="C20" s="31">
        <f>'Value of Travel Time Table'!E24</f>
        <v>2576576.1904478553</v>
      </c>
      <c r="D20" s="31">
        <f>'Value of Travel Time Table'!I24</f>
        <v>4920781.8594381316</v>
      </c>
      <c r="E20" s="31">
        <f>'Fuel Savings'!D28</f>
        <v>240086.2421913548</v>
      </c>
      <c r="F20" s="108">
        <f>'Crash Costs Summary'!L24</f>
        <v>2310780</v>
      </c>
      <c r="G20" s="292"/>
      <c r="H20" s="292"/>
      <c r="I20" s="47">
        <v>-10000</v>
      </c>
      <c r="J20" s="47">
        <v>0</v>
      </c>
      <c r="K20" s="269">
        <f t="shared" si="11"/>
        <v>10038224.29207734</v>
      </c>
      <c r="L20" s="309">
        <f t="shared" si="12"/>
        <v>0.33873459779659787</v>
      </c>
      <c r="M20" s="414">
        <f t="shared" si="14"/>
        <v>3400293.868168856</v>
      </c>
      <c r="N20" s="418">
        <f t="shared" si="13"/>
        <v>0.62316693922011435</v>
      </c>
      <c r="O20" s="416">
        <f t="shared" si="15"/>
        <v>6255489.5072988356</v>
      </c>
      <c r="P20" s="2"/>
      <c r="Q20" s="360">
        <f>'Funding Assumptions'!T43</f>
        <v>0</v>
      </c>
      <c r="R20" s="363"/>
      <c r="S20" s="361">
        <f t="shared" si="6"/>
        <v>0</v>
      </c>
      <c r="T20" s="310">
        <f t="shared" si="7"/>
        <v>0.33873459779659787</v>
      </c>
      <c r="U20" s="366">
        <f t="shared" si="16"/>
        <v>0</v>
      </c>
      <c r="V20" s="369">
        <f t="shared" si="8"/>
        <v>0.62316693922011435</v>
      </c>
      <c r="W20" s="367">
        <f t="shared" si="17"/>
        <v>0</v>
      </c>
      <c r="X20" s="314">
        <f t="shared" si="4"/>
        <v>3400293.868168856</v>
      </c>
      <c r="Y20" s="315">
        <f t="shared" si="5"/>
        <v>6255489.5072988356</v>
      </c>
    </row>
    <row r="21" spans="1:25" x14ac:dyDescent="0.25">
      <c r="A21" s="29">
        <f t="shared" si="20"/>
        <v>2035</v>
      </c>
      <c r="B21" s="30">
        <f t="shared" si="18"/>
        <v>15</v>
      </c>
      <c r="C21" s="31">
        <f>'Value of Travel Time Table'!E25</f>
        <v>2629396.0023520361</v>
      </c>
      <c r="D21" s="31">
        <f>'Value of Travel Time Table'!I25</f>
        <v>5021657.8875566125</v>
      </c>
      <c r="E21" s="31">
        <f>'Fuel Savings'!D29</f>
        <v>241886.88900778999</v>
      </c>
      <c r="F21" s="108">
        <f>'Crash Costs Summary'!L25</f>
        <v>2324492.0000000005</v>
      </c>
      <c r="G21" s="292"/>
      <c r="H21" s="292"/>
      <c r="I21" s="47">
        <v>-10000</v>
      </c>
      <c r="J21" s="47">
        <v>0</v>
      </c>
      <c r="K21" s="269">
        <f t="shared" si="11"/>
        <v>10207432.778916439</v>
      </c>
      <c r="L21" s="309">
        <f t="shared" si="12"/>
        <v>0.31657439046411018</v>
      </c>
      <c r="M21" s="414">
        <f t="shared" ref="M21:M42" si="21">L21*K21</f>
        <v>3231411.8101888499</v>
      </c>
      <c r="N21" s="418">
        <f t="shared" si="13"/>
        <v>0.60501644584477121</v>
      </c>
      <c r="O21" s="416">
        <f t="shared" ref="O21:O43" si="22">N21*K21</f>
        <v>6175664.7010994405</v>
      </c>
      <c r="P21" s="2"/>
      <c r="Q21" s="360">
        <v>0</v>
      </c>
      <c r="R21" s="70"/>
      <c r="S21" s="361">
        <f t="shared" si="6"/>
        <v>0</v>
      </c>
      <c r="T21" s="310">
        <f t="shared" si="7"/>
        <v>0.31657439046411018</v>
      </c>
      <c r="U21" s="366">
        <f t="shared" ref="U21:U43" si="23">T21*S21</f>
        <v>0</v>
      </c>
      <c r="V21" s="369">
        <f t="shared" si="8"/>
        <v>0.60501644584477121</v>
      </c>
      <c r="W21" s="367">
        <f t="shared" ref="W21:W43" si="24">V21*S21</f>
        <v>0</v>
      </c>
      <c r="X21" s="314">
        <f t="shared" si="4"/>
        <v>3231411.8101888499</v>
      </c>
      <c r="Y21" s="315">
        <f t="shared" si="5"/>
        <v>6175664.7010994405</v>
      </c>
    </row>
    <row r="22" spans="1:25" x14ac:dyDescent="0.25">
      <c r="A22" s="29">
        <f t="shared" si="20"/>
        <v>2036</v>
      </c>
      <c r="B22" s="30">
        <f t="shared" si="18"/>
        <v>16</v>
      </c>
      <c r="C22" s="31">
        <f>'Value of Travel Time Table'!E26</f>
        <v>2683298.6204002528</v>
      </c>
      <c r="D22" s="31">
        <f>'Value of Travel Time Table'!I26</f>
        <v>5124601.8742515231</v>
      </c>
      <c r="E22" s="31">
        <f>'Fuel Savings'!D30</f>
        <v>243701.04067534843</v>
      </c>
      <c r="F22" s="108">
        <f>'Crash Costs Summary'!L26</f>
        <v>2342760</v>
      </c>
      <c r="G22" s="292"/>
      <c r="H22" s="292"/>
      <c r="I22" s="47">
        <v>-10000</v>
      </c>
      <c r="J22" s="47">
        <v>0</v>
      </c>
      <c r="K22" s="269">
        <f t="shared" si="11"/>
        <v>10384361.535327125</v>
      </c>
      <c r="L22" s="309">
        <f t="shared" si="12"/>
        <v>0.29586391632159825</v>
      </c>
      <c r="M22" s="414">
        <f t="shared" si="21"/>
        <v>3072357.8723412482</v>
      </c>
      <c r="N22" s="418">
        <f t="shared" si="13"/>
        <v>0.5873946076162827</v>
      </c>
      <c r="O22" s="416">
        <f t="shared" si="22"/>
        <v>6099717.9693890959</v>
      </c>
      <c r="P22" s="2"/>
      <c r="Q22" s="360">
        <v>0</v>
      </c>
      <c r="R22" s="70"/>
      <c r="S22" s="361">
        <f t="shared" si="6"/>
        <v>0</v>
      </c>
      <c r="T22" s="310">
        <f t="shared" si="7"/>
        <v>0.29586391632159825</v>
      </c>
      <c r="U22" s="366">
        <f t="shared" si="23"/>
        <v>0</v>
      </c>
      <c r="V22" s="369">
        <f t="shared" si="8"/>
        <v>0.5873946076162827</v>
      </c>
      <c r="W22" s="367">
        <f t="shared" si="24"/>
        <v>0</v>
      </c>
      <c r="X22" s="314">
        <f t="shared" si="4"/>
        <v>3072357.8723412482</v>
      </c>
      <c r="Y22" s="315">
        <f t="shared" si="5"/>
        <v>6099717.9693890959</v>
      </c>
    </row>
    <row r="23" spans="1:25" x14ac:dyDescent="0.25">
      <c r="A23" s="29">
        <f t="shared" si="20"/>
        <v>2037</v>
      </c>
      <c r="B23" s="30">
        <f t="shared" si="18"/>
        <v>17</v>
      </c>
      <c r="C23" s="31">
        <f>'Value of Travel Time Table'!E27</f>
        <v>2738306.2421184573</v>
      </c>
      <c r="D23" s="31">
        <f>'Value of Travel Time Table'!I27</f>
        <v>5229656.212673679</v>
      </c>
      <c r="E23" s="31">
        <f>'Fuel Savings'!D31</f>
        <v>245528.79848041356</v>
      </c>
      <c r="F23" s="108">
        <f>'Crash Costs Summary'!L27</f>
        <v>2356516</v>
      </c>
      <c r="G23" s="292"/>
      <c r="H23" s="292"/>
      <c r="I23" s="47">
        <v>-10000</v>
      </c>
      <c r="J23" s="47">
        <v>-1000000</v>
      </c>
      <c r="K23" s="269">
        <f t="shared" si="11"/>
        <v>9560007.2532725502</v>
      </c>
      <c r="L23" s="309">
        <f t="shared" si="12"/>
        <v>0.27650833301083949</v>
      </c>
      <c r="M23" s="414">
        <f t="shared" si="21"/>
        <v>2643421.669173927</v>
      </c>
      <c r="N23" s="418">
        <f t="shared" si="13"/>
        <v>0.57028602681192497</v>
      </c>
      <c r="O23" s="416">
        <f t="shared" si="22"/>
        <v>5451938.5527619869</v>
      </c>
      <c r="P23" s="2"/>
      <c r="Q23" s="360">
        <v>0</v>
      </c>
      <c r="R23" s="70"/>
      <c r="S23" s="361">
        <f t="shared" si="6"/>
        <v>0</v>
      </c>
      <c r="T23" s="310">
        <f t="shared" si="7"/>
        <v>0.27650833301083949</v>
      </c>
      <c r="U23" s="366">
        <f t="shared" si="23"/>
        <v>0</v>
      </c>
      <c r="V23" s="369">
        <f t="shared" si="8"/>
        <v>0.57028602681192497</v>
      </c>
      <c r="W23" s="367">
        <f t="shared" si="24"/>
        <v>0</v>
      </c>
      <c r="X23" s="314">
        <f t="shared" si="4"/>
        <v>2643421.669173927</v>
      </c>
      <c r="Y23" s="315">
        <f t="shared" si="5"/>
        <v>5451938.5527619869</v>
      </c>
    </row>
    <row r="24" spans="1:25" x14ac:dyDescent="0.25">
      <c r="A24" s="29">
        <f t="shared" si="20"/>
        <v>2038</v>
      </c>
      <c r="B24" s="30">
        <f t="shared" si="18"/>
        <v>18</v>
      </c>
      <c r="C24" s="31">
        <f>'Value of Travel Time Table'!E28</f>
        <v>2794441.5200818861</v>
      </c>
      <c r="D24" s="31">
        <f>'Value of Travel Time Table'!I28</f>
        <v>5336864.1650334895</v>
      </c>
      <c r="E24" s="31">
        <f>'Fuel Savings'!D32</f>
        <v>247370.26446901669</v>
      </c>
      <c r="F24" s="108">
        <f>'Crash Costs Summary'!L28</f>
        <v>2370228</v>
      </c>
      <c r="G24" s="292">
        <f>'Avoided Bridge Projects'!O33</f>
        <v>3100000</v>
      </c>
      <c r="H24" s="292"/>
      <c r="I24" s="47">
        <v>-10000</v>
      </c>
      <c r="J24" s="47">
        <v>0</v>
      </c>
      <c r="K24" s="269">
        <f t="shared" si="11"/>
        <v>13838903.949584393</v>
      </c>
      <c r="L24" s="309">
        <f t="shared" si="12"/>
        <v>0.2584190028138687</v>
      </c>
      <c r="M24" s="414">
        <f t="shared" si="21"/>
        <v>3576235.7586885081</v>
      </c>
      <c r="N24" s="418">
        <f t="shared" si="13"/>
        <v>0.55367575418633497</v>
      </c>
      <c r="O24" s="416">
        <f t="shared" si="22"/>
        <v>7662265.5813983884</v>
      </c>
      <c r="P24" s="2"/>
      <c r="Q24" s="360">
        <v>0</v>
      </c>
      <c r="R24" s="70"/>
      <c r="S24" s="361">
        <f t="shared" si="6"/>
        <v>0</v>
      </c>
      <c r="T24" s="310">
        <f t="shared" si="7"/>
        <v>0.2584190028138687</v>
      </c>
      <c r="U24" s="366">
        <f t="shared" si="23"/>
        <v>0</v>
      </c>
      <c r="V24" s="369">
        <f t="shared" si="8"/>
        <v>0.55367575418633497</v>
      </c>
      <c r="W24" s="367">
        <f t="shared" si="24"/>
        <v>0</v>
      </c>
      <c r="X24" s="314">
        <f t="shared" si="4"/>
        <v>3576235.7586885081</v>
      </c>
      <c r="Y24" s="315">
        <f t="shared" si="5"/>
        <v>7662265.5813983884</v>
      </c>
    </row>
    <row r="25" spans="1:25" x14ac:dyDescent="0.25">
      <c r="A25" s="29">
        <f t="shared" si="20"/>
        <v>2039</v>
      </c>
      <c r="B25" s="30">
        <f t="shared" si="18"/>
        <v>19</v>
      </c>
      <c r="C25" s="31">
        <f>'Value of Travel Time Table'!E29</f>
        <v>2851727.5712435646</v>
      </c>
      <c r="D25" s="31">
        <f>'Value of Travel Time Table'!I29</f>
        <v>5446269.8804166755</v>
      </c>
      <c r="E25" s="31">
        <f>'Fuel Savings'!D33</f>
        <v>249225.54145253435</v>
      </c>
      <c r="F25" s="108">
        <f>'Crash Costs Summary'!L29</f>
        <v>2392963.9999999995</v>
      </c>
      <c r="G25" s="292"/>
      <c r="H25" s="292"/>
      <c r="I25" s="47">
        <v>-10000</v>
      </c>
      <c r="J25" s="47">
        <v>0</v>
      </c>
      <c r="K25" s="269">
        <f t="shared" si="11"/>
        <v>10930186.993112773</v>
      </c>
      <c r="L25" s="309">
        <f t="shared" si="12"/>
        <v>0.24151308674193336</v>
      </c>
      <c r="M25" s="414">
        <f t="shared" si="21"/>
        <v>2639783.1993731968</v>
      </c>
      <c r="N25" s="418">
        <f t="shared" si="13"/>
        <v>0.5375492759090631</v>
      </c>
      <c r="O25" s="416">
        <f t="shared" si="22"/>
        <v>5875514.1036984306</v>
      </c>
      <c r="P25" s="2"/>
      <c r="Q25" s="360">
        <v>0</v>
      </c>
      <c r="R25" s="70"/>
      <c r="S25" s="361">
        <f t="shared" si="6"/>
        <v>0</v>
      </c>
      <c r="T25" s="310">
        <f t="shared" si="7"/>
        <v>0.24151308674193336</v>
      </c>
      <c r="U25" s="366">
        <f>T25*S25</f>
        <v>0</v>
      </c>
      <c r="V25" s="369">
        <f t="shared" si="8"/>
        <v>0.5375492759090631</v>
      </c>
      <c r="W25" s="367">
        <f>V25*S25</f>
        <v>0</v>
      </c>
      <c r="X25" s="314">
        <f t="shared" si="4"/>
        <v>2639783.1993731968</v>
      </c>
      <c r="Y25" s="315">
        <f t="shared" si="5"/>
        <v>5875514.1036984306</v>
      </c>
    </row>
    <row r="26" spans="1:25" x14ac:dyDescent="0.25">
      <c r="A26" s="29">
        <f t="shared" si="20"/>
        <v>2040</v>
      </c>
      <c r="B26" s="30">
        <f t="shared" si="18"/>
        <v>20</v>
      </c>
      <c r="C26" s="31">
        <f>'Value of Travel Time Table'!E30</f>
        <v>2910187.9864540575</v>
      </c>
      <c r="D26" s="31">
        <f>'Value of Travel Time Table'!I30</f>
        <v>5557918.4129652176</v>
      </c>
      <c r="E26" s="31">
        <f>'Fuel Savings'!D34</f>
        <v>251094.73301342834</v>
      </c>
      <c r="F26" s="108">
        <f>'Crash Costs Summary'!L30</f>
        <v>2406719.9999999995</v>
      </c>
      <c r="G26" s="292"/>
      <c r="H26" s="292"/>
      <c r="I26" s="47">
        <v>-10000</v>
      </c>
      <c r="J26" s="47">
        <v>0</v>
      </c>
      <c r="K26" s="269">
        <f t="shared" si="11"/>
        <v>11115921.132432703</v>
      </c>
      <c r="L26" s="309">
        <f t="shared" si="12"/>
        <v>0.22571316517937698</v>
      </c>
      <c r="M26" s="414">
        <f t="shared" si="21"/>
        <v>2509009.7426857101</v>
      </c>
      <c r="N26" s="418">
        <f t="shared" si="13"/>
        <v>0.52189250088258554</v>
      </c>
      <c r="O26" s="416">
        <f t="shared" si="22"/>
        <v>5801315.8794188853</v>
      </c>
      <c r="P26" s="2"/>
      <c r="Q26" s="360">
        <v>0</v>
      </c>
      <c r="R26" s="70"/>
      <c r="S26" s="361">
        <f t="shared" si="6"/>
        <v>0</v>
      </c>
      <c r="T26" s="310">
        <f t="shared" si="7"/>
        <v>0.22571316517937698</v>
      </c>
      <c r="U26" s="366">
        <f t="shared" si="23"/>
        <v>0</v>
      </c>
      <c r="V26" s="369">
        <f t="shared" si="8"/>
        <v>0.52189250088258554</v>
      </c>
      <c r="W26" s="367">
        <f t="shared" si="24"/>
        <v>0</v>
      </c>
      <c r="X26" s="314">
        <f t="shared" si="4"/>
        <v>2509009.7426857101</v>
      </c>
      <c r="Y26" s="315">
        <f t="shared" si="5"/>
        <v>5801315.8794188853</v>
      </c>
    </row>
    <row r="27" spans="1:25" x14ac:dyDescent="0.25">
      <c r="A27" s="29">
        <f t="shared" si="20"/>
        <v>2041</v>
      </c>
      <c r="B27" s="30">
        <f t="shared" si="18"/>
        <v>21</v>
      </c>
      <c r="C27" s="31">
        <f>'Value of Travel Time Table'!E31</f>
        <v>2969846.8401763658</v>
      </c>
      <c r="D27" s="31">
        <f>'Value of Travel Time Table'!I31</f>
        <v>5671855.7404310042</v>
      </c>
      <c r="E27" s="31">
        <f>'Fuel Savings'!D35</f>
        <v>252977.94351102912</v>
      </c>
      <c r="F27" s="108">
        <f>'Crash Costs Summary'!L31</f>
        <v>2424943.9999999995</v>
      </c>
      <c r="G27" s="292"/>
      <c r="H27" s="292"/>
      <c r="I27" s="47">
        <v>-10000</v>
      </c>
      <c r="J27" s="47">
        <v>0</v>
      </c>
      <c r="K27" s="269">
        <f t="shared" si="11"/>
        <v>11309624.524118397</v>
      </c>
      <c r="L27" s="309">
        <f t="shared" si="12"/>
        <v>0.21094688334521211</v>
      </c>
      <c r="M27" s="414">
        <f t="shared" si="21"/>
        <v>2385730.0451673535</v>
      </c>
      <c r="N27" s="418">
        <f t="shared" si="13"/>
        <v>0.50669174842969467</v>
      </c>
      <c r="O27" s="416">
        <f t="shared" si="22"/>
        <v>5730493.4242089046</v>
      </c>
      <c r="P27" s="2"/>
      <c r="Q27" s="360">
        <v>0</v>
      </c>
      <c r="R27" s="70"/>
      <c r="S27" s="361">
        <f t="shared" si="6"/>
        <v>0</v>
      </c>
      <c r="T27" s="310">
        <f t="shared" si="7"/>
        <v>0.21094688334521211</v>
      </c>
      <c r="U27" s="366">
        <f t="shared" si="23"/>
        <v>0</v>
      </c>
      <c r="V27" s="369">
        <f t="shared" si="8"/>
        <v>0.50669174842969467</v>
      </c>
      <c r="W27" s="367">
        <f t="shared" si="24"/>
        <v>0</v>
      </c>
      <c r="X27" s="314">
        <f t="shared" si="4"/>
        <v>2385730.0451673535</v>
      </c>
      <c r="Y27" s="315">
        <f t="shared" si="5"/>
        <v>5730493.4242089046</v>
      </c>
    </row>
    <row r="28" spans="1:25" x14ac:dyDescent="0.25">
      <c r="A28" s="29">
        <f t="shared" si="20"/>
        <v>2042</v>
      </c>
      <c r="B28" s="30">
        <f t="shared" si="18"/>
        <v>22</v>
      </c>
      <c r="C28" s="31">
        <f>'Value of Travel Time Table'!E32</f>
        <v>3030728.7003999813</v>
      </c>
      <c r="D28" s="31">
        <f>'Value of Travel Time Table'!I32</f>
        <v>5788128.78310984</v>
      </c>
      <c r="E28" s="31">
        <f>'Fuel Savings'!D36</f>
        <v>254875.27808736186</v>
      </c>
      <c r="F28" s="108">
        <f>'Crash Costs Summary'!L32</f>
        <v>2438700</v>
      </c>
      <c r="G28" s="292"/>
      <c r="H28" s="292"/>
      <c r="I28" s="47">
        <v>-10000</v>
      </c>
      <c r="J28" s="47">
        <v>0</v>
      </c>
      <c r="K28" s="269">
        <f t="shared" si="11"/>
        <v>11502432.761597183</v>
      </c>
      <c r="L28" s="309">
        <f t="shared" si="12"/>
        <v>0.19714661994879637</v>
      </c>
      <c r="M28" s="414">
        <f t="shared" si="21"/>
        <v>2267665.740137184</v>
      </c>
      <c r="N28" s="418">
        <f t="shared" si="13"/>
        <v>0.49193373633950943</v>
      </c>
      <c r="O28" s="416">
        <f t="shared" si="22"/>
        <v>5658434.7254064837</v>
      </c>
      <c r="P28" s="2"/>
      <c r="Q28" s="360">
        <v>0</v>
      </c>
      <c r="R28" s="70"/>
      <c r="S28" s="361">
        <f t="shared" si="6"/>
        <v>0</v>
      </c>
      <c r="T28" s="310">
        <f t="shared" si="7"/>
        <v>0.19714661994879637</v>
      </c>
      <c r="U28" s="366">
        <f t="shared" si="23"/>
        <v>0</v>
      </c>
      <c r="V28" s="369">
        <f t="shared" si="8"/>
        <v>0.49193373633950943</v>
      </c>
      <c r="W28" s="367">
        <f t="shared" si="24"/>
        <v>0</v>
      </c>
      <c r="X28" s="314">
        <f t="shared" si="4"/>
        <v>2267665.740137184</v>
      </c>
      <c r="Y28" s="315">
        <f t="shared" si="5"/>
        <v>5658434.7254064837</v>
      </c>
    </row>
    <row r="29" spans="1:25" x14ac:dyDescent="0.25">
      <c r="A29" s="29">
        <f t="shared" si="20"/>
        <v>2043</v>
      </c>
      <c r="B29" s="30">
        <f t="shared" si="18"/>
        <v>23</v>
      </c>
      <c r="C29" s="31">
        <f>'Value of Travel Time Table'!E33</f>
        <v>3092858.6387581807</v>
      </c>
      <c r="D29" s="31">
        <f>'Value of Travel Time Table'!I33</f>
        <v>5906785.423163591</v>
      </c>
      <c r="E29" s="31">
        <f>'Fuel Savings'!D37</f>
        <v>256786.84267301706</v>
      </c>
      <c r="F29" s="108">
        <f>'Crash Costs Summary'!L33</f>
        <v>2452500</v>
      </c>
      <c r="G29" s="292"/>
      <c r="H29" s="292"/>
      <c r="I29" s="47">
        <v>-10000</v>
      </c>
      <c r="J29" s="47">
        <v>0</v>
      </c>
      <c r="K29" s="269">
        <f t="shared" si="11"/>
        <v>11698930.904594788</v>
      </c>
      <c r="L29" s="309">
        <f t="shared" si="12"/>
        <v>0.18424917752223957</v>
      </c>
      <c r="M29" s="414">
        <f t="shared" si="21"/>
        <v>2155518.3970610998</v>
      </c>
      <c r="N29" s="418">
        <f t="shared" si="13"/>
        <v>0.47760556926165965</v>
      </c>
      <c r="O29" s="416">
        <f t="shared" si="22"/>
        <v>5587474.5544418171</v>
      </c>
      <c r="P29" s="2"/>
      <c r="Q29" s="360">
        <v>0</v>
      </c>
      <c r="R29" s="70"/>
      <c r="S29" s="361">
        <f t="shared" si="6"/>
        <v>0</v>
      </c>
      <c r="T29" s="310">
        <f t="shared" si="7"/>
        <v>0.18424917752223957</v>
      </c>
      <c r="U29" s="366">
        <f t="shared" si="23"/>
        <v>0</v>
      </c>
      <c r="V29" s="369">
        <f t="shared" si="8"/>
        <v>0.47760556926165965</v>
      </c>
      <c r="W29" s="367">
        <f t="shared" si="24"/>
        <v>0</v>
      </c>
      <c r="X29" s="314">
        <f t="shared" si="4"/>
        <v>2155518.3970610998</v>
      </c>
      <c r="Y29" s="315">
        <f t="shared" si="5"/>
        <v>5587474.5544418171</v>
      </c>
    </row>
    <row r="30" spans="1:25" x14ac:dyDescent="0.25">
      <c r="A30" s="29">
        <f t="shared" si="20"/>
        <v>2044</v>
      </c>
      <c r="B30" s="30">
        <f t="shared" si="18"/>
        <v>24</v>
      </c>
      <c r="C30" s="31">
        <f>'Value of Travel Time Table'!E34</f>
        <v>3156262.2408527238</v>
      </c>
      <c r="D30" s="31">
        <f>'Value of Travel Time Table'!I34</f>
        <v>6027874.5243384447</v>
      </c>
      <c r="E30" s="31">
        <f>'Fuel Savings'!D38</f>
        <v>258712.74399306471</v>
      </c>
      <c r="F30" s="108">
        <f>'Crash Costs Summary'!L34</f>
        <v>2466168</v>
      </c>
      <c r="G30" s="292"/>
      <c r="H30" s="292"/>
      <c r="I30" s="47">
        <v>-10000</v>
      </c>
      <c r="J30" s="47">
        <v>0</v>
      </c>
      <c r="K30" s="269">
        <f t="shared" si="11"/>
        <v>11899017.509184234</v>
      </c>
      <c r="L30" s="309">
        <f t="shared" si="12"/>
        <v>0.17219549301143888</v>
      </c>
      <c r="M30" s="414">
        <f t="shared" si="21"/>
        <v>2048957.1863457225</v>
      </c>
      <c r="N30" s="418">
        <f t="shared" si="13"/>
        <v>0.46369472743850448</v>
      </c>
      <c r="O30" s="416">
        <f t="shared" si="22"/>
        <v>5517511.6807071762</v>
      </c>
      <c r="P30" s="2"/>
      <c r="Q30" s="360">
        <v>0</v>
      </c>
      <c r="R30" s="70"/>
      <c r="S30" s="361">
        <f t="shared" si="6"/>
        <v>0</v>
      </c>
      <c r="T30" s="310">
        <f t="shared" si="7"/>
        <v>0.17219549301143888</v>
      </c>
      <c r="U30" s="366">
        <f t="shared" si="23"/>
        <v>0</v>
      </c>
      <c r="V30" s="369">
        <f t="shared" si="8"/>
        <v>0.46369472743850448</v>
      </c>
      <c r="W30" s="367">
        <f t="shared" si="24"/>
        <v>0</v>
      </c>
      <c r="X30" s="314">
        <f t="shared" si="4"/>
        <v>2048957.1863457225</v>
      </c>
      <c r="Y30" s="315">
        <f t="shared" si="5"/>
        <v>5517511.6807071762</v>
      </c>
    </row>
    <row r="31" spans="1:25" x14ac:dyDescent="0.25">
      <c r="A31" s="29">
        <f t="shared" si="20"/>
        <v>2045</v>
      </c>
      <c r="B31" s="30">
        <f t="shared" si="18"/>
        <v>25</v>
      </c>
      <c r="C31" s="31">
        <f>'Value of Travel Time Table'!E35</f>
        <v>3220965.6167902043</v>
      </c>
      <c r="D31" s="31">
        <f>'Value of Travel Time Table'!I35</f>
        <v>6151445.9520873819</v>
      </c>
      <c r="E31" s="31">
        <f>'Fuel Savings'!D39</f>
        <v>260653.08957301272</v>
      </c>
      <c r="F31" s="108">
        <f>'Crash Costs Summary'!L35</f>
        <v>2493416</v>
      </c>
      <c r="G31" s="292"/>
      <c r="H31" s="292"/>
      <c r="I31" s="47">
        <v>-10000</v>
      </c>
      <c r="J31" s="47">
        <v>0</v>
      </c>
      <c r="K31" s="269">
        <f t="shared" si="11"/>
        <v>12116480.6584506</v>
      </c>
      <c r="L31" s="309">
        <f t="shared" si="12"/>
        <v>0.16093036730041013</v>
      </c>
      <c r="M31" s="414">
        <f t="shared" si="21"/>
        <v>1949909.6827527701</v>
      </c>
      <c r="N31" s="418">
        <f t="shared" si="13"/>
        <v>0.45018905576553836</v>
      </c>
      <c r="O31" s="416">
        <f t="shared" si="22"/>
        <v>5454706.9868292836</v>
      </c>
      <c r="P31" s="2"/>
      <c r="Q31" s="360">
        <v>0</v>
      </c>
      <c r="R31" s="70"/>
      <c r="S31" s="361">
        <f t="shared" si="6"/>
        <v>0</v>
      </c>
      <c r="T31" s="310">
        <f t="shared" si="7"/>
        <v>0.16093036730041013</v>
      </c>
      <c r="U31" s="366">
        <f t="shared" si="23"/>
        <v>0</v>
      </c>
      <c r="V31" s="369">
        <f t="shared" si="8"/>
        <v>0.45018905576553836</v>
      </c>
      <c r="W31" s="367">
        <f t="shared" si="24"/>
        <v>0</v>
      </c>
      <c r="X31" s="314">
        <f t="shared" si="4"/>
        <v>1949909.6827527701</v>
      </c>
      <c r="Y31" s="315">
        <f t="shared" si="5"/>
        <v>5454706.9868292836</v>
      </c>
    </row>
    <row r="32" spans="1:25" x14ac:dyDescent="0.25">
      <c r="A32" s="29">
        <f t="shared" si="20"/>
        <v>2046</v>
      </c>
      <c r="B32" s="30">
        <f t="shared" si="18"/>
        <v>26</v>
      </c>
      <c r="C32" s="31">
        <f>'Value of Travel Time Table'!E36</f>
        <v>3286995.4119344032</v>
      </c>
      <c r="D32" s="31">
        <f>'Value of Travel Time Table'!I36</f>
        <v>6277550.5941051729</v>
      </c>
      <c r="E32" s="31">
        <f>'Fuel Savings'!D40</f>
        <v>262607.98774481035</v>
      </c>
      <c r="F32" s="108">
        <f>'Crash Costs Summary'!L36</f>
        <v>2511772</v>
      </c>
      <c r="G32" s="292"/>
      <c r="H32" s="292"/>
      <c r="I32" s="47">
        <v>-10000</v>
      </c>
      <c r="J32" s="47">
        <v>0</v>
      </c>
      <c r="K32" s="269">
        <f t="shared" si="11"/>
        <v>12328925.993784387</v>
      </c>
      <c r="L32" s="309">
        <f t="shared" si="12"/>
        <v>0.15040221243028987</v>
      </c>
      <c r="M32" s="414">
        <f t="shared" si="21"/>
        <v>1854297.7463544819</v>
      </c>
      <c r="N32" s="418">
        <f t="shared" si="13"/>
        <v>0.4370767531704256</v>
      </c>
      <c r="O32" s="416">
        <f t="shared" si="22"/>
        <v>5388686.9434417421</v>
      </c>
      <c r="P32" s="2"/>
      <c r="Q32" s="360">
        <v>0</v>
      </c>
      <c r="R32" s="70"/>
      <c r="S32" s="361">
        <f t="shared" si="6"/>
        <v>0</v>
      </c>
      <c r="T32" s="310">
        <f t="shared" si="7"/>
        <v>0.15040221243028987</v>
      </c>
      <c r="U32" s="366">
        <f t="shared" si="23"/>
        <v>0</v>
      </c>
      <c r="V32" s="369">
        <f t="shared" si="8"/>
        <v>0.4370767531704256</v>
      </c>
      <c r="W32" s="367">
        <f t="shared" si="24"/>
        <v>0</v>
      </c>
      <c r="X32" s="314">
        <f t="shared" si="4"/>
        <v>1854297.7463544819</v>
      </c>
      <c r="Y32" s="315">
        <f t="shared" si="5"/>
        <v>5388686.9434417421</v>
      </c>
    </row>
    <row r="33" spans="1:26" x14ac:dyDescent="0.25">
      <c r="A33" s="29">
        <f t="shared" si="20"/>
        <v>2047</v>
      </c>
      <c r="B33" s="30">
        <f t="shared" si="18"/>
        <v>27</v>
      </c>
      <c r="C33" s="31">
        <f>'Value of Travel Time Table'!E37</f>
        <v>3354378.8178790584</v>
      </c>
      <c r="D33" s="31">
        <f>'Value of Travel Time Table'!I37</f>
        <v>6406240.3812843291</v>
      </c>
      <c r="E33" s="31">
        <f>'Fuel Savings'!D41</f>
        <v>264577.54765289649</v>
      </c>
      <c r="F33" s="108">
        <f>'Crash Costs Summary'!L37</f>
        <v>2520928</v>
      </c>
      <c r="G33" s="292"/>
      <c r="H33" s="292"/>
      <c r="I33" s="47">
        <v>-10000</v>
      </c>
      <c r="J33" s="47">
        <v>-1000000</v>
      </c>
      <c r="K33" s="269">
        <f t="shared" si="11"/>
        <v>11536124.746816285</v>
      </c>
      <c r="L33" s="309">
        <f t="shared" si="12"/>
        <v>0.1405628153554111</v>
      </c>
      <c r="M33" s="414">
        <f t="shared" si="21"/>
        <v>1621550.172703726</v>
      </c>
      <c r="N33" s="418">
        <f t="shared" si="13"/>
        <v>0.42434636230138412</v>
      </c>
      <c r="O33" s="416">
        <f t="shared" si="22"/>
        <v>4895312.5713664666</v>
      </c>
      <c r="P33" s="2"/>
      <c r="Q33" s="360">
        <v>0</v>
      </c>
      <c r="R33" s="70"/>
      <c r="S33" s="361">
        <f t="shared" si="6"/>
        <v>0</v>
      </c>
      <c r="T33" s="310">
        <f t="shared" si="7"/>
        <v>0.1405628153554111</v>
      </c>
      <c r="U33" s="366">
        <f t="shared" si="23"/>
        <v>0</v>
      </c>
      <c r="V33" s="369">
        <f t="shared" si="8"/>
        <v>0.42434636230138412</v>
      </c>
      <c r="W33" s="367">
        <f t="shared" si="24"/>
        <v>0</v>
      </c>
      <c r="X33" s="314">
        <f t="shared" si="4"/>
        <v>1621550.172703726</v>
      </c>
      <c r="Y33" s="315">
        <f t="shared" si="5"/>
        <v>4895312.5713664666</v>
      </c>
    </row>
    <row r="34" spans="1:26" x14ac:dyDescent="0.25">
      <c r="A34" s="29">
        <f t="shared" si="20"/>
        <v>2048</v>
      </c>
      <c r="B34" s="30">
        <f t="shared" si="18"/>
        <v>28</v>
      </c>
      <c r="C34" s="31">
        <f>'Value of Travel Time Table'!E38</f>
        <v>3423143.5836455789</v>
      </c>
      <c r="D34" s="31">
        <f>'Value of Travel Time Table'!I38</f>
        <v>6537568.3091006577</v>
      </c>
      <c r="E34" s="31">
        <f>'Fuel Savings'!D42</f>
        <v>266561.87926029315</v>
      </c>
      <c r="F34" s="108">
        <f>'Crash Costs Summary'!L38</f>
        <v>2543664</v>
      </c>
      <c r="G34" s="292"/>
      <c r="H34" s="292"/>
      <c r="I34" s="47">
        <v>-10000</v>
      </c>
      <c r="J34" s="47">
        <v>0</v>
      </c>
      <c r="K34" s="269">
        <f t="shared" si="11"/>
        <v>12760937.77200653</v>
      </c>
      <c r="L34" s="309">
        <f t="shared" si="12"/>
        <v>0.13136711715458982</v>
      </c>
      <c r="M34" s="414">
        <f t="shared" si="21"/>
        <v>1676367.6072976124</v>
      </c>
      <c r="N34" s="418">
        <f t="shared" si="13"/>
        <v>0.41198675951590691</v>
      </c>
      <c r="O34" s="416">
        <f t="shared" si="22"/>
        <v>5257337.4010731075</v>
      </c>
      <c r="P34" s="2"/>
      <c r="Q34" s="360">
        <v>0</v>
      </c>
      <c r="R34" s="70"/>
      <c r="S34" s="361">
        <f t="shared" si="6"/>
        <v>0</v>
      </c>
      <c r="T34" s="310">
        <f t="shared" si="7"/>
        <v>0.13136711715458982</v>
      </c>
      <c r="U34" s="366">
        <f t="shared" si="23"/>
        <v>0</v>
      </c>
      <c r="V34" s="369">
        <f t="shared" si="8"/>
        <v>0.41198675951590691</v>
      </c>
      <c r="W34" s="367">
        <f t="shared" si="24"/>
        <v>0</v>
      </c>
      <c r="X34" s="314">
        <f t="shared" si="4"/>
        <v>1676367.6072976124</v>
      </c>
      <c r="Y34" s="315">
        <f t="shared" si="5"/>
        <v>5257337.4010731075</v>
      </c>
    </row>
    <row r="35" spans="1:26" x14ac:dyDescent="0.25">
      <c r="A35" s="29">
        <f t="shared" si="20"/>
        <v>2049</v>
      </c>
      <c r="B35" s="30">
        <f t="shared" si="18"/>
        <v>29</v>
      </c>
      <c r="C35" s="31">
        <f>'Value of Travel Time Table'!E39</f>
        <v>3493318.0271103131</v>
      </c>
      <c r="D35" s="31">
        <f>'Value of Travel Time Table'!I39</f>
        <v>6671588.4594372213</v>
      </c>
      <c r="E35" s="31">
        <f>'Fuel Savings'!D43</f>
        <v>268561.09335474548</v>
      </c>
      <c r="F35" s="108">
        <f>'Crash Costs Summary'!L39</f>
        <v>2557420</v>
      </c>
      <c r="G35" s="292"/>
      <c r="H35" s="292"/>
      <c r="I35" s="47">
        <v>-10000</v>
      </c>
      <c r="J35" s="47">
        <v>0</v>
      </c>
      <c r="K35" s="269">
        <f t="shared" si="11"/>
        <v>12980887.57990228</v>
      </c>
      <c r="L35" s="309">
        <f t="shared" si="12"/>
        <v>0.1227730066865325</v>
      </c>
      <c r="M35" s="414">
        <f t="shared" si="21"/>
        <v>1593702.5976444692</v>
      </c>
      <c r="N35" s="418">
        <f t="shared" si="13"/>
        <v>0.39998714516107459</v>
      </c>
      <c r="O35" s="416">
        <f t="shared" si="22"/>
        <v>5192188.1647419631</v>
      </c>
      <c r="P35" s="2"/>
      <c r="Q35" s="360">
        <v>0</v>
      </c>
      <c r="R35" s="70"/>
      <c r="S35" s="361">
        <f t="shared" si="6"/>
        <v>0</v>
      </c>
      <c r="T35" s="310">
        <f t="shared" si="7"/>
        <v>0.1227730066865325</v>
      </c>
      <c r="U35" s="366">
        <f t="shared" si="23"/>
        <v>0</v>
      </c>
      <c r="V35" s="369">
        <f t="shared" si="8"/>
        <v>0.39998714516107459</v>
      </c>
      <c r="W35" s="367">
        <f t="shared" si="24"/>
        <v>0</v>
      </c>
      <c r="X35" s="314">
        <f t="shared" si="4"/>
        <v>1593702.5976444692</v>
      </c>
      <c r="Y35" s="315">
        <f t="shared" si="5"/>
        <v>5192188.1647419631</v>
      </c>
    </row>
    <row r="36" spans="1:26" x14ac:dyDescent="0.25">
      <c r="A36" s="29">
        <f t="shared" si="20"/>
        <v>2050</v>
      </c>
      <c r="B36" s="30">
        <f t="shared" si="18"/>
        <v>30</v>
      </c>
      <c r="C36" s="31">
        <f>'Value of Travel Time Table'!E40</f>
        <v>3564931.0466660745</v>
      </c>
      <c r="D36" s="31">
        <f>'Value of Travel Time Table'!I40</f>
        <v>6808356.0228556832</v>
      </c>
      <c r="E36" s="31">
        <f>'Fuel Savings'!D44</f>
        <v>270575.30155490607</v>
      </c>
      <c r="F36" s="108">
        <f>'Crash Costs Summary'!L40</f>
        <v>2580244</v>
      </c>
      <c r="G36" s="292"/>
      <c r="H36" s="292"/>
      <c r="I36" s="47">
        <v>-10000</v>
      </c>
      <c r="J36" s="47">
        <v>0</v>
      </c>
      <c r="K36" s="269">
        <f t="shared" si="11"/>
        <v>13214106.371076664</v>
      </c>
      <c r="L36" s="309">
        <f t="shared" si="12"/>
        <v>0.11474112774442291</v>
      </c>
      <c r="M36" s="414">
        <f t="shared" si="21"/>
        <v>1516201.4671521001</v>
      </c>
      <c r="N36" s="418">
        <f t="shared" si="13"/>
        <v>0.38833703413696569</v>
      </c>
      <c r="O36" s="416">
        <f t="shared" si="22"/>
        <v>5131526.8769142944</v>
      </c>
      <c r="P36" s="3"/>
      <c r="Q36" s="360">
        <v>0</v>
      </c>
      <c r="R36" s="70"/>
      <c r="S36" s="361">
        <f t="shared" si="6"/>
        <v>0</v>
      </c>
      <c r="T36" s="310">
        <f t="shared" si="7"/>
        <v>0.11474112774442291</v>
      </c>
      <c r="U36" s="366">
        <f t="shared" si="23"/>
        <v>0</v>
      </c>
      <c r="V36" s="369">
        <f t="shared" si="8"/>
        <v>0.38833703413696569</v>
      </c>
      <c r="W36" s="367">
        <f t="shared" si="24"/>
        <v>0</v>
      </c>
      <c r="X36" s="314">
        <f t="shared" si="4"/>
        <v>1516201.4671521001</v>
      </c>
      <c r="Y36" s="315">
        <f t="shared" si="5"/>
        <v>5131526.8769142944</v>
      </c>
    </row>
    <row r="37" spans="1:26" x14ac:dyDescent="0.25">
      <c r="A37" s="29">
        <f t="shared" si="20"/>
        <v>2051</v>
      </c>
      <c r="B37" s="30">
        <f t="shared" si="18"/>
        <v>31</v>
      </c>
      <c r="C37" s="31">
        <f>'Value of Travel Time Table'!E41</f>
        <v>3638012.1331227291</v>
      </c>
      <c r="D37" s="31">
        <f>'Value of Travel Time Table'!I41</f>
        <v>6947927.3213242246</v>
      </c>
      <c r="E37" s="31">
        <f>'Fuel Savings'!D45</f>
        <v>272604.61631656787</v>
      </c>
      <c r="F37" s="108">
        <f>'Crash Costs Summary'!L41</f>
        <v>2589443.9999999995</v>
      </c>
      <c r="G37" s="292"/>
      <c r="H37" s="292"/>
      <c r="I37" s="47">
        <v>-10000</v>
      </c>
      <c r="J37" s="47">
        <v>0</v>
      </c>
      <c r="K37" s="269">
        <f t="shared" si="11"/>
        <v>13437988.070763521</v>
      </c>
      <c r="L37" s="309">
        <f t="shared" si="12"/>
        <v>0.10723469882656347</v>
      </c>
      <c r="M37" s="414">
        <f t="shared" si="21"/>
        <v>1441018.603603279</v>
      </c>
      <c r="N37" s="418">
        <f t="shared" si="13"/>
        <v>0.37702624673491814</v>
      </c>
      <c r="O37" s="416">
        <f t="shared" si="22"/>
        <v>5066474.2059885738</v>
      </c>
      <c r="Q37" s="360">
        <v>0</v>
      </c>
      <c r="R37" s="70"/>
      <c r="S37" s="361">
        <f t="shared" si="6"/>
        <v>0</v>
      </c>
      <c r="T37" s="310">
        <f t="shared" si="7"/>
        <v>0.10723469882656347</v>
      </c>
      <c r="U37" s="366">
        <f t="shared" si="23"/>
        <v>0</v>
      </c>
      <c r="V37" s="369">
        <f t="shared" si="8"/>
        <v>0.37702624673491814</v>
      </c>
      <c r="W37" s="367">
        <f t="shared" si="24"/>
        <v>0</v>
      </c>
      <c r="X37" s="314">
        <f t="shared" si="4"/>
        <v>1441018.603603279</v>
      </c>
      <c r="Y37" s="315">
        <f t="shared" si="5"/>
        <v>5066474.2059885738</v>
      </c>
    </row>
    <row r="38" spans="1:26" x14ac:dyDescent="0.25">
      <c r="A38" s="29">
        <f t="shared" si="20"/>
        <v>2052</v>
      </c>
      <c r="B38" s="30">
        <f t="shared" si="18"/>
        <v>32</v>
      </c>
      <c r="C38" s="31">
        <f>'Value of Travel Time Table'!E42</f>
        <v>3712591.3818517444</v>
      </c>
      <c r="D38" s="31">
        <f>'Value of Travel Time Table'!I42</f>
        <v>7090359.831411371</v>
      </c>
      <c r="E38" s="31">
        <f>'Fuel Savings'!D46</f>
        <v>274649.15093894216</v>
      </c>
      <c r="F38" s="108">
        <f>'Crash Costs Summary'!L42</f>
        <v>2603156</v>
      </c>
      <c r="G38" s="292"/>
      <c r="H38" s="292"/>
      <c r="I38" s="47">
        <v>-10000</v>
      </c>
      <c r="J38" s="47">
        <v>0</v>
      </c>
      <c r="K38" s="269">
        <f t="shared" si="11"/>
        <v>13670756.364202058</v>
      </c>
      <c r="L38" s="309">
        <f t="shared" si="12"/>
        <v>0.10021934469772288</v>
      </c>
      <c r="M38" s="414">
        <f t="shared" si="21"/>
        <v>1370074.2443425548</v>
      </c>
      <c r="N38" s="418">
        <f t="shared" si="13"/>
        <v>0.36604489974263904</v>
      </c>
      <c r="O38" s="416">
        <f t="shared" si="22"/>
        <v>5004110.6427403865</v>
      </c>
      <c r="Q38" s="360">
        <v>0</v>
      </c>
      <c r="R38" s="70"/>
      <c r="S38" s="361">
        <f t="shared" si="6"/>
        <v>0</v>
      </c>
      <c r="T38" s="310">
        <f t="shared" si="7"/>
        <v>0.10021934469772288</v>
      </c>
      <c r="U38" s="366">
        <f t="shared" si="23"/>
        <v>0</v>
      </c>
      <c r="V38" s="369">
        <f t="shared" si="8"/>
        <v>0.36604489974263904</v>
      </c>
      <c r="W38" s="367">
        <f t="shared" si="24"/>
        <v>0</v>
      </c>
      <c r="X38" s="314">
        <f t="shared" si="4"/>
        <v>1370074.2443425548</v>
      </c>
      <c r="Y38" s="315">
        <f t="shared" si="5"/>
        <v>5004110.6427403865</v>
      </c>
    </row>
    <row r="39" spans="1:26" x14ac:dyDescent="0.25">
      <c r="A39" s="29">
        <f t="shared" si="20"/>
        <v>2053</v>
      </c>
      <c r="B39" s="30">
        <f t="shared" si="18"/>
        <v>33</v>
      </c>
      <c r="C39" s="31">
        <f>'Value of Travel Time Table'!E43</f>
        <v>3788699.5051797051</v>
      </c>
      <c r="D39" s="31">
        <f>'Value of Travel Time Table'!I43</f>
        <v>7235712.2079553045</v>
      </c>
      <c r="E39" s="31">
        <f>'Fuel Savings'!D47</f>
        <v>276709.01957098424</v>
      </c>
      <c r="F39" s="108">
        <f>'Crash Costs Summary'!L43</f>
        <v>2735516</v>
      </c>
      <c r="G39" s="292"/>
      <c r="H39" s="292"/>
      <c r="I39" s="47">
        <v>-10000</v>
      </c>
      <c r="J39" s="47">
        <v>0</v>
      </c>
      <c r="K39" s="269">
        <f t="shared" si="11"/>
        <v>14026636.732705994</v>
      </c>
      <c r="L39" s="309">
        <f t="shared" si="12"/>
        <v>9.366293896983445E-2</v>
      </c>
      <c r="M39" s="414">
        <f t="shared" si="21"/>
        <v>1313776.0202474797</v>
      </c>
      <c r="N39" s="418">
        <f t="shared" si="13"/>
        <v>0.35538339780838735</v>
      </c>
      <c r="O39" s="416">
        <f t="shared" si="22"/>
        <v>4984833.8218929926</v>
      </c>
      <c r="Q39" s="360">
        <v>0</v>
      </c>
      <c r="R39" s="70"/>
      <c r="S39" s="361">
        <f t="shared" si="6"/>
        <v>0</v>
      </c>
      <c r="T39" s="310">
        <f t="shared" si="7"/>
        <v>9.366293896983445E-2</v>
      </c>
      <c r="U39" s="366">
        <f t="shared" si="23"/>
        <v>0</v>
      </c>
      <c r="V39" s="369">
        <f t="shared" si="8"/>
        <v>0.35538339780838735</v>
      </c>
      <c r="W39" s="367">
        <f t="shared" si="24"/>
        <v>0</v>
      </c>
      <c r="X39" s="314">
        <f t="shared" si="4"/>
        <v>1313776.0202474797</v>
      </c>
      <c r="Y39" s="315">
        <f t="shared" si="5"/>
        <v>4984833.8218929926</v>
      </c>
    </row>
    <row r="40" spans="1:26" s="267" customFormat="1" ht="15" customHeight="1" x14ac:dyDescent="0.25">
      <c r="A40" s="29">
        <f t="shared" si="20"/>
        <v>2054</v>
      </c>
      <c r="B40" s="30">
        <f t="shared" si="18"/>
        <v>34</v>
      </c>
      <c r="C40" s="31">
        <f>'Value of Travel Time Table'!E44</f>
        <v>3866367.8450358892</v>
      </c>
      <c r="D40" s="31">
        <f>'Value of Travel Time Table'!I44</f>
        <v>7384044.3082183888</v>
      </c>
      <c r="E40" s="31">
        <f>'Fuel Savings'!D48</f>
        <v>278784.33721776662</v>
      </c>
      <c r="F40" s="108">
        <f>'Crash Costs Summary'!L44</f>
        <v>2753784.0000000005</v>
      </c>
      <c r="G40" s="292"/>
      <c r="H40" s="292"/>
      <c r="I40" s="47">
        <v>-10000</v>
      </c>
      <c r="J40" s="47">
        <v>0</v>
      </c>
      <c r="K40" s="269">
        <f t="shared" ref="K40:K41" si="25">C40+E40+F40+G40+H40+I40+J40+D40</f>
        <v>14272980.490472045</v>
      </c>
      <c r="L40" s="309">
        <f t="shared" si="12"/>
        <v>8.7535456981153698E-2</v>
      </c>
      <c r="M40" s="414">
        <f t="shared" ref="M40" si="26">L40*K40</f>
        <v>1249391.8697165616</v>
      </c>
      <c r="N40" s="418">
        <f t="shared" si="13"/>
        <v>0.34503242505668674</v>
      </c>
      <c r="O40" s="416">
        <f t="shared" ref="O40:O41" si="27">N40*K40</f>
        <v>4924641.0714143477</v>
      </c>
      <c r="Q40" s="360">
        <v>0</v>
      </c>
      <c r="R40" s="70"/>
      <c r="S40" s="361">
        <f t="shared" ref="S40:S41" si="28">Q40+R40</f>
        <v>0</v>
      </c>
      <c r="T40" s="310">
        <f t="shared" si="7"/>
        <v>8.7535456981153698E-2</v>
      </c>
      <c r="U40" s="366">
        <f t="shared" ref="U40:U41" si="29">T40*S40</f>
        <v>0</v>
      </c>
      <c r="V40" s="369">
        <f t="shared" si="8"/>
        <v>0.34503242505668674</v>
      </c>
      <c r="W40" s="367">
        <f t="shared" ref="W40:W41" si="30">V40*S40</f>
        <v>0</v>
      </c>
      <c r="X40" s="314">
        <f t="shared" si="4"/>
        <v>1249391.8697165616</v>
      </c>
      <c r="Y40" s="315">
        <f t="shared" si="5"/>
        <v>4924641.0714143477</v>
      </c>
    </row>
    <row r="41" spans="1:26" s="267" customFormat="1" x14ac:dyDescent="0.25">
      <c r="A41" s="29">
        <f t="shared" si="20"/>
        <v>2055</v>
      </c>
      <c r="B41" s="30">
        <f t="shared" si="18"/>
        <v>35</v>
      </c>
      <c r="C41" s="31">
        <f>'Value of Travel Time Table'!E45</f>
        <v>3945628.3858591248</v>
      </c>
      <c r="D41" s="31">
        <f>'Value of Travel Time Table'!I45</f>
        <v>7535417.2165368656</v>
      </c>
      <c r="E41" s="31">
        <f>'Fuel Savings'!D49</f>
        <v>280875.21974689991</v>
      </c>
      <c r="F41" s="108">
        <f>'Crash Costs Summary'!L45</f>
        <v>2767540.0000000005</v>
      </c>
      <c r="G41" s="293"/>
      <c r="H41" s="293"/>
      <c r="I41" s="47">
        <v>-10000</v>
      </c>
      <c r="J41" s="47">
        <v>0</v>
      </c>
      <c r="K41" s="269">
        <f t="shared" si="25"/>
        <v>14519460.822142892</v>
      </c>
      <c r="L41" s="309">
        <f t="shared" si="12"/>
        <v>8.1808838300143641E-2</v>
      </c>
      <c r="M41" s="414">
        <f>L41*K41</f>
        <v>1187820.2226039586</v>
      </c>
      <c r="N41" s="418">
        <f t="shared" si="13"/>
        <v>0.33498293694823961</v>
      </c>
      <c r="O41" s="416">
        <f t="shared" si="27"/>
        <v>4863771.6291063279</v>
      </c>
      <c r="Q41" s="360">
        <v>0</v>
      </c>
      <c r="R41" s="70"/>
      <c r="S41" s="361">
        <f t="shared" si="28"/>
        <v>0</v>
      </c>
      <c r="T41" s="310">
        <f t="shared" si="7"/>
        <v>8.1808838300143641E-2</v>
      </c>
      <c r="U41" s="366">
        <f t="shared" si="29"/>
        <v>0</v>
      </c>
      <c r="V41" s="369">
        <f t="shared" si="8"/>
        <v>0.33498293694823961</v>
      </c>
      <c r="W41" s="367">
        <f t="shared" si="30"/>
        <v>0</v>
      </c>
      <c r="X41" s="314">
        <f t="shared" si="4"/>
        <v>1187820.2226039586</v>
      </c>
      <c r="Y41" s="315">
        <f t="shared" si="5"/>
        <v>4863771.6291063279</v>
      </c>
    </row>
    <row r="42" spans="1:26" ht="15" customHeight="1" x14ac:dyDescent="0.25">
      <c r="A42" s="29">
        <f t="shared" si="20"/>
        <v>2056</v>
      </c>
      <c r="B42" s="30">
        <f t="shared" si="18"/>
        <v>36</v>
      </c>
      <c r="C42" s="31">
        <f>'Value of Travel Time Table'!E46</f>
        <v>4026513.7677692366</v>
      </c>
      <c r="D42" s="31">
        <f>'Value of Travel Time Table'!I46</f>
        <v>7689893.2694758708</v>
      </c>
      <c r="E42" s="31">
        <f>'Fuel Savings'!D50</f>
        <v>282981.78389500169</v>
      </c>
      <c r="F42" s="108">
        <f>'Crash Costs Summary'!L46</f>
        <v>2785808.0000000005</v>
      </c>
      <c r="G42" s="292"/>
      <c r="H42" s="292"/>
      <c r="I42" s="47">
        <v>-10000</v>
      </c>
      <c r="J42" s="47">
        <v>0</v>
      </c>
      <c r="K42" s="269">
        <f t="shared" si="11"/>
        <v>14775196.82114011</v>
      </c>
      <c r="L42" s="309">
        <f t="shared" si="12"/>
        <v>7.6456858224433308E-2</v>
      </c>
      <c r="M42" s="414">
        <f t="shared" si="21"/>
        <v>1129665.1285920071</v>
      </c>
      <c r="N42" s="418">
        <f t="shared" si="13"/>
        <v>0.3252261523769317</v>
      </c>
      <c r="O42" s="416">
        <f t="shared" si="22"/>
        <v>4805280.4127512705</v>
      </c>
      <c r="Q42" s="360">
        <v>0</v>
      </c>
      <c r="R42" s="70"/>
      <c r="S42" s="361">
        <f t="shared" si="6"/>
        <v>0</v>
      </c>
      <c r="T42" s="310">
        <f t="shared" si="7"/>
        <v>7.6456858224433308E-2</v>
      </c>
      <c r="U42" s="366">
        <f t="shared" si="23"/>
        <v>0</v>
      </c>
      <c r="V42" s="369">
        <f t="shared" si="8"/>
        <v>0.3252261523769317</v>
      </c>
      <c r="W42" s="367">
        <f t="shared" si="24"/>
        <v>0</v>
      </c>
      <c r="X42" s="314">
        <f t="shared" si="4"/>
        <v>1129665.1285920071</v>
      </c>
      <c r="Y42" s="315">
        <f t="shared" si="5"/>
        <v>4805280.4127512705</v>
      </c>
    </row>
    <row r="43" spans="1:26" ht="15.75" thickBot="1" x14ac:dyDescent="0.3">
      <c r="A43" s="29">
        <f t="shared" si="20"/>
        <v>2057</v>
      </c>
      <c r="B43" s="30">
        <f t="shared" si="18"/>
        <v>37</v>
      </c>
      <c r="C43" s="31">
        <f>'Value of Travel Time Table'!E47</f>
        <v>4109057.300008506</v>
      </c>
      <c r="D43" s="31">
        <f>'Value of Travel Time Table'!I47</f>
        <v>7847536.081500127</v>
      </c>
      <c r="E43" s="31">
        <f>'Fuel Savings'!D51</f>
        <v>285104.14727421425</v>
      </c>
      <c r="F43" s="108">
        <f>'Crash Costs Summary'!L47</f>
        <v>2795008</v>
      </c>
      <c r="G43" s="293"/>
      <c r="H43" s="293">
        <f>'Residual Bridge Value'!U37</f>
        <v>19700000</v>
      </c>
      <c r="I43" s="47">
        <v>-10000</v>
      </c>
      <c r="J43" s="47">
        <v>-1000000</v>
      </c>
      <c r="K43" s="269">
        <f t="shared" si="11"/>
        <v>33726705.528782845</v>
      </c>
      <c r="L43" s="309">
        <f t="shared" si="12"/>
        <v>7.1455007686386268E-2</v>
      </c>
      <c r="M43" s="414">
        <f>L43*K43</f>
        <v>2409942.0027956646</v>
      </c>
      <c r="N43" s="418">
        <f t="shared" si="13"/>
        <v>0.31575354599702099</v>
      </c>
      <c r="O43" s="416">
        <f t="shared" si="22"/>
        <v>10649326.865510516</v>
      </c>
      <c r="Q43" s="360">
        <v>0</v>
      </c>
      <c r="R43" s="70"/>
      <c r="S43" s="361">
        <f t="shared" si="6"/>
        <v>0</v>
      </c>
      <c r="T43" s="310">
        <f t="shared" si="7"/>
        <v>7.1455007686386268E-2</v>
      </c>
      <c r="U43" s="366">
        <f t="shared" si="23"/>
        <v>0</v>
      </c>
      <c r="V43" s="369">
        <f t="shared" si="8"/>
        <v>0.31575354599702099</v>
      </c>
      <c r="W43" s="367">
        <f t="shared" si="24"/>
        <v>0</v>
      </c>
      <c r="X43" s="314">
        <f t="shared" si="4"/>
        <v>2409942.0027956646</v>
      </c>
      <c r="Y43" s="315">
        <f t="shared" si="5"/>
        <v>10649326.865510516</v>
      </c>
    </row>
    <row r="44" spans="1:26" ht="15.75" thickBot="1" x14ac:dyDescent="0.3">
      <c r="A44" s="11"/>
      <c r="B44" s="266" t="s">
        <v>3</v>
      </c>
      <c r="C44" s="323">
        <f t="shared" ref="C44:H44" si="31">SUM(C7:C43)</f>
        <v>95507808.141604692</v>
      </c>
      <c r="D44" s="324">
        <f t="shared" si="31"/>
        <v>182402170.55495495</v>
      </c>
      <c r="E44" s="324">
        <f t="shared" si="31"/>
        <v>7918790.5592538668</v>
      </c>
      <c r="F44" s="324">
        <f t="shared" si="31"/>
        <v>76243628</v>
      </c>
      <c r="G44" s="324">
        <f t="shared" si="31"/>
        <v>27175000</v>
      </c>
      <c r="H44" s="324">
        <f t="shared" si="31"/>
        <v>19700000</v>
      </c>
      <c r="I44" s="324">
        <f t="shared" ref="I44:J44" si="32">SUM(I7:I43)</f>
        <v>-310000</v>
      </c>
      <c r="J44" s="324">
        <f t="shared" si="32"/>
        <v>2000000</v>
      </c>
      <c r="K44" s="325">
        <f>SUM(K7:K43)</f>
        <v>410637397.25581348</v>
      </c>
      <c r="L44" s="28"/>
      <c r="M44" s="415">
        <f>SUM(M7:M43)</f>
        <v>92660466.490054548</v>
      </c>
      <c r="N44" s="21"/>
      <c r="O44" s="306">
        <f>SUM(O7:O43)</f>
        <v>203943855.77070194</v>
      </c>
      <c r="Q44" s="48">
        <f>SUM(Q7:Q43)</f>
        <v>129460000</v>
      </c>
      <c r="R44" s="49"/>
      <c r="S44" s="49">
        <f>Q44+R44</f>
        <v>129460000</v>
      </c>
      <c r="T44" s="48"/>
      <c r="U44" s="311">
        <f>SUM(U7:U43)</f>
        <v>85062450.473247185</v>
      </c>
      <c r="V44" s="370"/>
      <c r="W44" s="308">
        <f>SUM(W7:W43)</f>
        <v>107655751.08090621</v>
      </c>
      <c r="X44" s="316">
        <f>SUM(X7:X43)</f>
        <v>7598016.0168073745</v>
      </c>
      <c r="Y44" s="317">
        <f>SUM(Y7:Y43)</f>
        <v>96288104.689795732</v>
      </c>
    </row>
    <row r="45" spans="1:26" x14ac:dyDescent="0.25">
      <c r="S45" s="26"/>
      <c r="T45" s="26"/>
      <c r="U45" s="26"/>
      <c r="V45" s="26"/>
      <c r="W45" s="26"/>
      <c r="X45" s="24"/>
      <c r="Y45" s="27"/>
      <c r="Z45" s="27"/>
    </row>
    <row r="46" spans="1:26" x14ac:dyDescent="0.25">
      <c r="A46" s="24"/>
      <c r="B46" s="9"/>
      <c r="K46" s="2"/>
      <c r="Q46" s="24" t="s">
        <v>2</v>
      </c>
      <c r="S46" s="26"/>
      <c r="T46" s="26"/>
      <c r="U46" s="9"/>
      <c r="V46" s="111"/>
      <c r="W46" s="9"/>
      <c r="X46" s="111"/>
    </row>
    <row r="47" spans="1:26" ht="15" customHeight="1" x14ac:dyDescent="0.25">
      <c r="A47" s="24"/>
      <c r="Q47" s="24" t="s">
        <v>334</v>
      </c>
      <c r="U47" s="60"/>
      <c r="V47" s="60"/>
      <c r="W47" s="60"/>
      <c r="X47" s="59"/>
    </row>
    <row r="48" spans="1:26" x14ac:dyDescent="0.25">
      <c r="A48" s="446"/>
      <c r="B48" s="446"/>
      <c r="C48" s="446"/>
      <c r="D48" s="446"/>
      <c r="E48" s="446"/>
      <c r="F48" s="446"/>
      <c r="G48" s="446"/>
      <c r="H48" s="446"/>
      <c r="I48" s="446"/>
      <c r="J48" s="446"/>
      <c r="K48" s="446"/>
      <c r="L48" s="2"/>
      <c r="Q48" s="446" t="s">
        <v>213</v>
      </c>
      <c r="R48" s="446"/>
      <c r="S48" s="446"/>
      <c r="T48" s="446"/>
      <c r="U48" s="446"/>
      <c r="V48" s="446"/>
      <c r="W48" s="446"/>
      <c r="X48" s="446"/>
    </row>
    <row r="49" spans="1:26" x14ac:dyDescent="0.25">
      <c r="A49" s="446"/>
      <c r="B49" s="446"/>
      <c r="C49" s="446"/>
      <c r="D49" s="446"/>
      <c r="E49" s="446"/>
      <c r="F49" s="446"/>
      <c r="G49" s="446"/>
      <c r="H49" s="446"/>
      <c r="I49" s="446"/>
      <c r="J49" s="446"/>
      <c r="K49" s="446"/>
      <c r="Q49" s="446"/>
      <c r="R49" s="446"/>
      <c r="S49" s="446"/>
      <c r="T49" s="446"/>
      <c r="U49" s="446"/>
      <c r="V49" s="446"/>
      <c r="W49" s="446"/>
      <c r="X49" s="446"/>
    </row>
    <row r="50" spans="1:26" ht="15" customHeight="1" x14ac:dyDescent="0.25">
      <c r="A50" s="24"/>
      <c r="F50" s="55"/>
      <c r="G50" s="55"/>
      <c r="H50" s="55"/>
      <c r="I50" s="55"/>
      <c r="J50" s="55"/>
      <c r="Q50" s="24" t="s">
        <v>281</v>
      </c>
      <c r="R50" s="24"/>
    </row>
    <row r="51" spans="1:26" ht="15.75" thickBot="1" x14ac:dyDescent="0.3">
      <c r="A51" s="24"/>
      <c r="R51" s="24"/>
      <c r="U51" s="20"/>
      <c r="V51"/>
      <c r="W51" s="20"/>
      <c r="X51"/>
    </row>
    <row r="52" spans="1:26" ht="15.75" thickBot="1" x14ac:dyDescent="0.3">
      <c r="A52" s="24"/>
      <c r="Q52" s="439" t="s">
        <v>29</v>
      </c>
      <c r="R52" s="440"/>
      <c r="S52" s="441"/>
      <c r="U52" s="365"/>
      <c r="V52" s="365"/>
      <c r="W52" s="365"/>
      <c r="X52" s="365"/>
    </row>
    <row r="53" spans="1:26" x14ac:dyDescent="0.25">
      <c r="A53" s="24"/>
      <c r="Q53" s="61" t="s">
        <v>23</v>
      </c>
      <c r="R53" s="447">
        <f>K44/S44</f>
        <v>3.1719248976966901</v>
      </c>
      <c r="S53" s="448"/>
      <c r="U53" s="365"/>
      <c r="V53" s="365"/>
      <c r="W53" s="365"/>
      <c r="X53" s="365"/>
    </row>
    <row r="54" spans="1:26" x14ac:dyDescent="0.25">
      <c r="A54" s="24"/>
      <c r="Q54" s="22" t="s">
        <v>24</v>
      </c>
      <c r="R54" s="435">
        <f>M44/U44</f>
        <v>1.0893227972452664</v>
      </c>
      <c r="S54" s="436"/>
      <c r="U54" s="20"/>
      <c r="V54"/>
      <c r="W54" s="20"/>
      <c r="X54"/>
    </row>
    <row r="55" spans="1:26" ht="15.75" thickBot="1" x14ac:dyDescent="0.3">
      <c r="Q55" s="23" t="s">
        <v>25</v>
      </c>
      <c r="R55" s="437">
        <f>O44/W44</f>
        <v>1.8944074396678781</v>
      </c>
      <c r="S55" s="438"/>
      <c r="U55" s="20"/>
      <c r="V55" s="267"/>
      <c r="W55" s="20"/>
      <c r="X55" s="267"/>
    </row>
    <row r="58" spans="1:26" x14ac:dyDescent="0.25">
      <c r="T58"/>
      <c r="W58" s="20"/>
      <c r="Y58"/>
      <c r="Z58" s="20"/>
    </row>
    <row r="59" spans="1:26" x14ac:dyDescent="0.25">
      <c r="W59" s="20"/>
      <c r="Y59"/>
      <c r="Z59" s="20"/>
    </row>
    <row r="60" spans="1:26" x14ac:dyDescent="0.25">
      <c r="W60" s="20"/>
      <c r="Y60"/>
      <c r="Z60" s="20"/>
    </row>
    <row r="61" spans="1:26" x14ac:dyDescent="0.25">
      <c r="W61" s="20"/>
      <c r="Y61"/>
      <c r="Z61" s="20"/>
    </row>
    <row r="62" spans="1:26" x14ac:dyDescent="0.25">
      <c r="W62" s="20"/>
      <c r="Y62"/>
      <c r="Z62" s="20"/>
    </row>
    <row r="63" spans="1:26" x14ac:dyDescent="0.25">
      <c r="W63" s="20"/>
      <c r="Y63"/>
      <c r="Z63" s="20"/>
    </row>
    <row r="64" spans="1:26" x14ac:dyDescent="0.25">
      <c r="W64" s="20"/>
      <c r="Y64"/>
      <c r="Z64" s="20"/>
    </row>
    <row r="65" spans="17:26" x14ac:dyDescent="0.25">
      <c r="Y65"/>
      <c r="Z65" s="20"/>
    </row>
    <row r="66" spans="17:26" x14ac:dyDescent="0.25">
      <c r="Q66" s="1"/>
      <c r="R66" s="58"/>
      <c r="W66" s="20"/>
      <c r="Y66"/>
      <c r="Z66" s="20"/>
    </row>
    <row r="67" spans="17:26" x14ac:dyDescent="0.25">
      <c r="W67" s="20"/>
      <c r="Y67"/>
      <c r="Z67" s="20"/>
    </row>
    <row r="68" spans="17:26" x14ac:dyDescent="0.25">
      <c r="Y68"/>
      <c r="Z68" s="20"/>
    </row>
    <row r="69" spans="17:26" x14ac:dyDescent="0.25">
      <c r="W69" s="20"/>
      <c r="Y69"/>
      <c r="Z69" s="20"/>
    </row>
    <row r="70" spans="17:26" x14ac:dyDescent="0.25">
      <c r="W70" s="20"/>
      <c r="Y70"/>
      <c r="Z70" s="20"/>
    </row>
    <row r="71" spans="17:26" x14ac:dyDescent="0.25">
      <c r="W71" s="20"/>
      <c r="Y71"/>
      <c r="Z71" s="20"/>
    </row>
    <row r="72" spans="17:26" x14ac:dyDescent="0.25">
      <c r="Y72"/>
      <c r="Z72" s="20"/>
    </row>
    <row r="73" spans="17:26" x14ac:dyDescent="0.25">
      <c r="W73" s="20"/>
      <c r="Y73"/>
      <c r="Z73" s="20"/>
    </row>
    <row r="74" spans="17:26" x14ac:dyDescent="0.25">
      <c r="W74" s="20"/>
      <c r="Y74"/>
      <c r="Z74" s="20"/>
    </row>
    <row r="75" spans="17:26" x14ac:dyDescent="0.25">
      <c r="W75" s="20"/>
      <c r="Y75"/>
      <c r="Z75" s="20"/>
    </row>
    <row r="76" spans="17:26" x14ac:dyDescent="0.25">
      <c r="W76" s="20"/>
      <c r="Y76"/>
      <c r="Z76" s="20"/>
    </row>
    <row r="77" spans="17:26" x14ac:dyDescent="0.25">
      <c r="W77" s="20"/>
      <c r="Y77"/>
      <c r="Z77" s="20"/>
    </row>
    <row r="78" spans="17:26" x14ac:dyDescent="0.25">
      <c r="W78" s="20"/>
      <c r="Y78"/>
      <c r="Z78" s="20"/>
    </row>
    <row r="79" spans="17:26" x14ac:dyDescent="0.25">
      <c r="W79" s="20"/>
      <c r="Y79"/>
      <c r="Z79" s="20"/>
    </row>
    <row r="80" spans="17:26" x14ac:dyDescent="0.25">
      <c r="Y80"/>
      <c r="Z80" s="20"/>
    </row>
    <row r="81" spans="23:26" x14ac:dyDescent="0.25">
      <c r="Y81" s="151"/>
      <c r="Z81" s="20"/>
    </row>
    <row r="83" spans="23:26" x14ac:dyDescent="0.25">
      <c r="W83" s="151"/>
      <c r="X83" s="270"/>
    </row>
    <row r="95" spans="23:26" ht="15.75" customHeight="1" x14ac:dyDescent="0.25"/>
    <row r="96" spans="23:26" ht="15" customHeight="1" x14ac:dyDescent="0.25"/>
    <row r="97" ht="15" customHeight="1" x14ac:dyDescent="0.25"/>
  </sheetData>
  <mergeCells count="11">
    <mergeCell ref="A1:Y1"/>
    <mergeCell ref="A2:Y2"/>
    <mergeCell ref="A3:Y3"/>
    <mergeCell ref="R54:S54"/>
    <mergeCell ref="R55:S55"/>
    <mergeCell ref="Q52:S52"/>
    <mergeCell ref="A5:O5"/>
    <mergeCell ref="A48:K49"/>
    <mergeCell ref="R53:S53"/>
    <mergeCell ref="Q5:Y5"/>
    <mergeCell ref="Q48:X49"/>
  </mergeCells>
  <pageMargins left="0.6" right="0.7" top="0.28999999999999998" bottom="0.19" header="0.3" footer="0.3"/>
  <pageSetup paperSize="3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C2F5F-24CB-45EC-901E-1AAACDEFFEE6}">
  <sheetPr>
    <pageSetUpPr fitToPage="1"/>
  </sheetPr>
  <dimension ref="A1:Z81"/>
  <sheetViews>
    <sheetView view="pageBreakPreview" topLeftCell="B8" zoomScale="70" zoomScaleNormal="55" zoomScaleSheetLayoutView="70" workbookViewId="0">
      <selection activeCell="K13" sqref="K13"/>
    </sheetView>
  </sheetViews>
  <sheetFormatPr defaultRowHeight="15" x14ac:dyDescent="0.25"/>
  <cols>
    <col min="1" max="1" width="13.85546875" customWidth="1"/>
    <col min="2" max="2" width="14.5703125" customWidth="1"/>
    <col min="3" max="3" width="14.42578125" customWidth="1"/>
    <col min="4" max="4" width="11.85546875" customWidth="1"/>
    <col min="5" max="5" width="14" customWidth="1"/>
    <col min="9" max="9" width="28.7109375" customWidth="1"/>
    <col min="10" max="15" width="14.7109375" customWidth="1"/>
    <col min="16" max="18" width="14.28515625" customWidth="1"/>
    <col min="19" max="19" width="19" customWidth="1"/>
    <col min="20" max="20" width="15" customWidth="1"/>
    <col min="21" max="21" width="16.140625" customWidth="1"/>
    <col min="22" max="22" width="16.85546875" customWidth="1"/>
    <col min="23" max="23" width="15" customWidth="1"/>
    <col min="24" max="24" width="34.5703125" customWidth="1"/>
  </cols>
  <sheetData>
    <row r="1" spans="1:24" ht="15.75" x14ac:dyDescent="0.25">
      <c r="A1" s="62" t="s">
        <v>121</v>
      </c>
    </row>
    <row r="2" spans="1:24" ht="15.75" x14ac:dyDescent="0.25">
      <c r="A2" s="62" t="s">
        <v>8</v>
      </c>
      <c r="B2" s="35"/>
      <c r="C2" s="35"/>
      <c r="D2" s="35"/>
      <c r="E2" s="35"/>
      <c r="F2" s="3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4" ht="15.75" thickBot="1" x14ac:dyDescent="0.3">
      <c r="A3" s="37"/>
      <c r="B3" s="37"/>
      <c r="C3" s="201"/>
      <c r="D3" s="202"/>
      <c r="E3" s="202"/>
      <c r="F3" s="3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4" ht="15.75" thickBot="1" x14ac:dyDescent="0.3">
      <c r="A4" s="63" t="s">
        <v>5</v>
      </c>
      <c r="B4" s="64" t="s">
        <v>267</v>
      </c>
      <c r="C4" s="65"/>
      <c r="D4" s="37"/>
      <c r="E4" s="35"/>
      <c r="F4" s="35"/>
      <c r="H4" s="552" t="s">
        <v>118</v>
      </c>
      <c r="I4" s="553"/>
      <c r="J4" s="553"/>
      <c r="K4" s="553"/>
      <c r="L4" s="554"/>
      <c r="M4" s="552" t="s">
        <v>119</v>
      </c>
      <c r="N4" s="553"/>
      <c r="O4" s="554"/>
      <c r="P4" s="552" t="s">
        <v>120</v>
      </c>
      <c r="Q4" s="553"/>
      <c r="R4" s="554"/>
      <c r="S4" s="560" t="s">
        <v>268</v>
      </c>
      <c r="T4" s="75"/>
    </row>
    <row r="5" spans="1:24" ht="17.25" x14ac:dyDescent="0.25">
      <c r="A5" s="66" t="s">
        <v>191</v>
      </c>
      <c r="B5" s="67">
        <v>4400</v>
      </c>
      <c r="C5" s="68"/>
      <c r="D5" s="37"/>
      <c r="E5" s="35"/>
      <c r="F5" s="35"/>
      <c r="H5" s="563" t="s">
        <v>4</v>
      </c>
      <c r="I5" s="565" t="s">
        <v>117</v>
      </c>
      <c r="J5" s="567" t="s">
        <v>12</v>
      </c>
      <c r="K5" s="567" t="s">
        <v>13</v>
      </c>
      <c r="L5" s="555" t="s">
        <v>34</v>
      </c>
      <c r="M5" s="569" t="s">
        <v>12</v>
      </c>
      <c r="N5" s="571" t="s">
        <v>13</v>
      </c>
      <c r="O5" s="573" t="s">
        <v>34</v>
      </c>
      <c r="P5" s="563" t="s">
        <v>12</v>
      </c>
      <c r="Q5" s="567" t="s">
        <v>13</v>
      </c>
      <c r="R5" s="555" t="s">
        <v>14</v>
      </c>
      <c r="S5" s="561"/>
      <c r="T5" s="75"/>
    </row>
    <row r="6" spans="1:24" ht="18" thickBot="1" x14ac:dyDescent="0.3">
      <c r="A6" s="69" t="s">
        <v>192</v>
      </c>
      <c r="B6" s="70">
        <v>451200</v>
      </c>
      <c r="C6" s="68"/>
      <c r="D6" s="37"/>
      <c r="E6" s="35"/>
      <c r="F6" s="35"/>
      <c r="H6" s="564"/>
      <c r="I6" s="566"/>
      <c r="J6" s="568"/>
      <c r="K6" s="568"/>
      <c r="L6" s="556"/>
      <c r="M6" s="570"/>
      <c r="N6" s="572"/>
      <c r="O6" s="574"/>
      <c r="P6" s="564"/>
      <c r="Q6" s="568"/>
      <c r="R6" s="556"/>
      <c r="S6" s="562"/>
      <c r="T6" s="75"/>
      <c r="W6" s="9"/>
      <c r="X6" s="9"/>
    </row>
    <row r="7" spans="1:24" ht="18" thickBot="1" x14ac:dyDescent="0.3">
      <c r="A7" s="71" t="s">
        <v>193</v>
      </c>
      <c r="B7" s="72">
        <v>9600000</v>
      </c>
      <c r="C7" s="68"/>
      <c r="D7" s="37"/>
      <c r="E7" s="35"/>
      <c r="F7" s="35"/>
      <c r="H7" s="78">
        <v>2017</v>
      </c>
      <c r="I7" s="200">
        <v>0</v>
      </c>
      <c r="J7" s="274">
        <f>C17</f>
        <v>1.8</v>
      </c>
      <c r="K7" s="274">
        <f>C18</f>
        <v>1.4</v>
      </c>
      <c r="L7" s="275">
        <v>0</v>
      </c>
      <c r="M7" s="273">
        <f t="shared" ref="M7:O9" si="0">ROUNDUP(J7*$C$23,2)</f>
        <v>0.36</v>
      </c>
      <c r="N7" s="274">
        <f t="shared" si="0"/>
        <v>0.28000000000000003</v>
      </c>
      <c r="O7" s="275">
        <f t="shared" si="0"/>
        <v>0</v>
      </c>
      <c r="P7" s="78"/>
      <c r="Q7" s="382"/>
      <c r="R7" s="383"/>
      <c r="S7" s="384">
        <f t="shared" ref="S7:S43" si="1">((P7*$B$5)+(Q7*$B$6)+(R7*$B$7))</f>
        <v>0</v>
      </c>
      <c r="T7" s="75"/>
      <c r="X7" s="9"/>
    </row>
    <row r="8" spans="1:24" x14ac:dyDescent="0.25">
      <c r="A8" s="37"/>
      <c r="B8" s="68"/>
      <c r="C8" s="68"/>
      <c r="D8" s="37"/>
      <c r="E8" s="35"/>
      <c r="F8" s="35"/>
      <c r="H8" s="79">
        <f>H7+1</f>
        <v>2018</v>
      </c>
      <c r="I8" s="86">
        <f t="shared" ref="I8:I43" si="2">((1+$C$42)^(H8-$H$7))-1</f>
        <v>7.5000000000000622E-3</v>
      </c>
      <c r="J8" s="277">
        <f>ROUNDUP($J$7*(1+I8),2)</f>
        <v>1.82</v>
      </c>
      <c r="K8" s="277">
        <f>ROUNDUP($K$7*(1+I8),2)</f>
        <v>1.42</v>
      </c>
      <c r="L8" s="278">
        <f>ROUNDUP($L$7*(1+I8),2)</f>
        <v>0</v>
      </c>
      <c r="M8" s="276">
        <f t="shared" si="0"/>
        <v>0.37</v>
      </c>
      <c r="N8" s="277">
        <f t="shared" si="0"/>
        <v>0.29000000000000004</v>
      </c>
      <c r="O8" s="278">
        <f t="shared" si="0"/>
        <v>0</v>
      </c>
      <c r="P8" s="79"/>
      <c r="Q8" s="85"/>
      <c r="R8" s="87"/>
      <c r="S8" s="109">
        <f t="shared" si="1"/>
        <v>0</v>
      </c>
      <c r="T8" s="75"/>
    </row>
    <row r="9" spans="1:24" x14ac:dyDescent="0.25">
      <c r="A9" s="73" t="s">
        <v>196</v>
      </c>
      <c r="B9" s="73"/>
      <c r="C9" s="35"/>
      <c r="D9" s="35"/>
      <c r="E9" s="35"/>
      <c r="F9" s="35"/>
      <c r="H9" s="79">
        <f t="shared" ref="H9:H45" si="3">H8+1</f>
        <v>2019</v>
      </c>
      <c r="I9" s="86">
        <f t="shared" si="2"/>
        <v>1.5056250000000215E-2</v>
      </c>
      <c r="J9" s="277">
        <f t="shared" ref="J9:J43" si="4">ROUNDUP($J$7*(1+I9),2)</f>
        <v>1.83</v>
      </c>
      <c r="K9" s="277">
        <f t="shared" ref="K9:K43" si="5">ROUNDUP($K$7*(1+I9),2)</f>
        <v>1.43</v>
      </c>
      <c r="L9" s="278">
        <f t="shared" ref="L9:L43" si="6">ROUNDUP($L$7*(1+I9),2)</f>
        <v>0</v>
      </c>
      <c r="M9" s="276">
        <f t="shared" si="0"/>
        <v>0.37</v>
      </c>
      <c r="N9" s="277">
        <f t="shared" si="0"/>
        <v>0.29000000000000004</v>
      </c>
      <c r="O9" s="278">
        <f t="shared" si="0"/>
        <v>0</v>
      </c>
      <c r="P9" s="79"/>
      <c r="Q9" s="85"/>
      <c r="R9" s="87"/>
      <c r="S9" s="109">
        <f t="shared" si="1"/>
        <v>0</v>
      </c>
      <c r="T9" s="75"/>
    </row>
    <row r="10" spans="1:24" x14ac:dyDescent="0.25">
      <c r="A10" s="299" t="s">
        <v>36</v>
      </c>
      <c r="B10" s="73" t="s">
        <v>195</v>
      </c>
      <c r="C10" s="35"/>
      <c r="D10" s="35"/>
      <c r="E10" s="35"/>
      <c r="F10" s="35"/>
      <c r="H10" s="79">
        <f t="shared" si="3"/>
        <v>2020</v>
      </c>
      <c r="I10" s="86">
        <f t="shared" si="2"/>
        <v>2.2669171875000282E-2</v>
      </c>
      <c r="J10" s="277">
        <f t="shared" si="4"/>
        <v>1.85</v>
      </c>
      <c r="K10" s="277">
        <f t="shared" si="5"/>
        <v>1.44</v>
      </c>
      <c r="L10" s="278">
        <f t="shared" si="6"/>
        <v>0</v>
      </c>
      <c r="M10" s="276">
        <f t="shared" ref="M10:M43" si="7">ROUNDUP(J10*$C$23,2)</f>
        <v>0.37</v>
      </c>
      <c r="N10" s="277">
        <f t="shared" ref="N10:N43" si="8">ROUNDUP(K10*$C$23,2)</f>
        <v>0.29000000000000004</v>
      </c>
      <c r="O10" s="278">
        <f t="shared" ref="O10:O43" si="9">ROUNDUP(L10*$C$23,2)</f>
        <v>0</v>
      </c>
      <c r="P10" s="79"/>
      <c r="Q10" s="85"/>
      <c r="R10" s="87"/>
      <c r="S10" s="109">
        <f t="shared" si="1"/>
        <v>0</v>
      </c>
      <c r="T10" s="75"/>
    </row>
    <row r="11" spans="1:24" x14ac:dyDescent="0.25">
      <c r="A11" s="299" t="s">
        <v>37</v>
      </c>
      <c r="B11" s="73" t="s">
        <v>197</v>
      </c>
      <c r="C11" s="35"/>
      <c r="D11" s="35"/>
      <c r="E11" s="35"/>
      <c r="F11" s="35"/>
      <c r="H11" s="79">
        <f t="shared" si="3"/>
        <v>2021</v>
      </c>
      <c r="I11" s="86">
        <f t="shared" si="2"/>
        <v>3.0339190664062876E-2</v>
      </c>
      <c r="J11" s="277">
        <f t="shared" si="4"/>
        <v>1.86</v>
      </c>
      <c r="K11" s="277">
        <f t="shared" si="5"/>
        <v>1.45</v>
      </c>
      <c r="L11" s="278">
        <f t="shared" si="6"/>
        <v>0</v>
      </c>
      <c r="M11" s="276">
        <f t="shared" si="7"/>
        <v>0.38</v>
      </c>
      <c r="N11" s="277">
        <f t="shared" si="8"/>
        <v>0.28999999999999998</v>
      </c>
      <c r="O11" s="278">
        <f t="shared" si="9"/>
        <v>0</v>
      </c>
      <c r="P11" s="79"/>
      <c r="Q11" s="85"/>
      <c r="R11" s="87"/>
      <c r="S11" s="109">
        <f t="shared" si="1"/>
        <v>0</v>
      </c>
      <c r="T11" s="75"/>
    </row>
    <row r="12" spans="1:24" ht="15" customHeight="1" x14ac:dyDescent="0.25">
      <c r="A12" s="299" t="s">
        <v>38</v>
      </c>
      <c r="B12" s="73" t="s">
        <v>198</v>
      </c>
      <c r="C12" s="35"/>
      <c r="D12" s="35"/>
      <c r="E12" s="35"/>
      <c r="F12" s="35"/>
      <c r="H12" s="79">
        <f t="shared" si="3"/>
        <v>2022</v>
      </c>
      <c r="I12" s="86">
        <f t="shared" si="2"/>
        <v>3.8066734594043306E-2</v>
      </c>
      <c r="J12" s="277">
        <f t="shared" si="4"/>
        <v>1.87</v>
      </c>
      <c r="K12" s="277">
        <f t="shared" si="5"/>
        <v>1.46</v>
      </c>
      <c r="L12" s="278">
        <f t="shared" si="6"/>
        <v>0</v>
      </c>
      <c r="M12" s="276">
        <f t="shared" si="7"/>
        <v>0.38</v>
      </c>
      <c r="N12" s="277">
        <f t="shared" si="8"/>
        <v>0.3</v>
      </c>
      <c r="O12" s="278">
        <f t="shared" si="9"/>
        <v>0</v>
      </c>
      <c r="P12" s="79"/>
      <c r="Q12" s="85"/>
      <c r="R12" s="87"/>
      <c r="S12" s="109">
        <f t="shared" si="1"/>
        <v>0</v>
      </c>
      <c r="T12" s="75"/>
    </row>
    <row r="13" spans="1:24" ht="15.75" thickBot="1" x14ac:dyDescent="0.3">
      <c r="A13" s="35"/>
      <c r="B13" s="35"/>
      <c r="C13" s="35"/>
      <c r="D13" s="35"/>
      <c r="E13" s="35"/>
      <c r="F13" s="35"/>
      <c r="H13" s="79">
        <f t="shared" si="3"/>
        <v>2023</v>
      </c>
      <c r="I13" s="86">
        <f t="shared" si="2"/>
        <v>4.5852235103498895E-2</v>
      </c>
      <c r="J13" s="277">
        <f t="shared" si="4"/>
        <v>1.89</v>
      </c>
      <c r="K13" s="277">
        <f t="shared" si="5"/>
        <v>1.47</v>
      </c>
      <c r="L13" s="278">
        <f t="shared" si="6"/>
        <v>0</v>
      </c>
      <c r="M13" s="276">
        <f t="shared" si="7"/>
        <v>0.38</v>
      </c>
      <c r="N13" s="277">
        <f t="shared" si="8"/>
        <v>0.3</v>
      </c>
      <c r="O13" s="278">
        <f t="shared" si="9"/>
        <v>0</v>
      </c>
      <c r="P13" s="79"/>
      <c r="Q13" s="85"/>
      <c r="R13" s="87"/>
      <c r="S13" s="109">
        <f t="shared" si="1"/>
        <v>0</v>
      </c>
      <c r="T13" s="75"/>
    </row>
    <row r="14" spans="1:24" x14ac:dyDescent="0.25">
      <c r="A14" s="577" t="s">
        <v>199</v>
      </c>
      <c r="B14" s="577"/>
      <c r="C14" s="577" t="s">
        <v>11</v>
      </c>
      <c r="D14" s="35"/>
      <c r="E14" s="35"/>
      <c r="F14" s="35"/>
      <c r="H14" s="79">
        <f t="shared" si="3"/>
        <v>2024</v>
      </c>
      <c r="I14" s="86">
        <f t="shared" si="2"/>
        <v>5.3696126866775273E-2</v>
      </c>
      <c r="J14" s="277">
        <f t="shared" si="4"/>
        <v>1.9</v>
      </c>
      <c r="K14" s="277">
        <f t="shared" si="5"/>
        <v>1.48</v>
      </c>
      <c r="L14" s="278">
        <f t="shared" si="6"/>
        <v>0</v>
      </c>
      <c r="M14" s="276">
        <f t="shared" si="7"/>
        <v>0.38</v>
      </c>
      <c r="N14" s="277">
        <f t="shared" si="8"/>
        <v>0.3</v>
      </c>
      <c r="O14" s="278">
        <f t="shared" si="9"/>
        <v>0</v>
      </c>
      <c r="P14" s="79"/>
      <c r="Q14" s="85"/>
      <c r="R14" s="87"/>
      <c r="S14" s="109">
        <f t="shared" si="1"/>
        <v>0</v>
      </c>
      <c r="T14" s="75"/>
    </row>
    <row r="15" spans="1:24" ht="15.75" thickBot="1" x14ac:dyDescent="0.3">
      <c r="A15" s="578"/>
      <c r="B15" s="578"/>
      <c r="C15" s="578"/>
      <c r="D15" s="35"/>
      <c r="E15" s="35"/>
      <c r="F15" s="35"/>
      <c r="H15" s="79">
        <f t="shared" si="3"/>
        <v>2025</v>
      </c>
      <c r="I15" s="86">
        <f t="shared" si="2"/>
        <v>6.159884781827607E-2</v>
      </c>
      <c r="J15" s="277">
        <f t="shared" si="4"/>
        <v>1.92</v>
      </c>
      <c r="K15" s="277">
        <f t="shared" si="5"/>
        <v>1.49</v>
      </c>
      <c r="L15" s="278">
        <f t="shared" si="6"/>
        <v>0</v>
      </c>
      <c r="M15" s="276">
        <f t="shared" si="7"/>
        <v>0.39</v>
      </c>
      <c r="N15" s="277">
        <f t="shared" si="8"/>
        <v>0.3</v>
      </c>
      <c r="O15" s="278">
        <f t="shared" si="9"/>
        <v>0</v>
      </c>
      <c r="P15" s="79"/>
      <c r="Q15" s="85"/>
      <c r="R15" s="87"/>
      <c r="S15" s="109">
        <f t="shared" si="1"/>
        <v>0</v>
      </c>
      <c r="T15" s="75"/>
    </row>
    <row r="16" spans="1:24" x14ac:dyDescent="0.25">
      <c r="A16" s="66" t="s">
        <v>31</v>
      </c>
      <c r="B16" s="66">
        <v>32</v>
      </c>
      <c r="C16" s="82">
        <f>B16/10</f>
        <v>3.2</v>
      </c>
      <c r="D16" s="35"/>
      <c r="E16" s="35"/>
      <c r="F16" s="35"/>
      <c r="H16" s="79">
        <f t="shared" si="3"/>
        <v>2026</v>
      </c>
      <c r="I16" s="86">
        <f t="shared" si="2"/>
        <v>6.9560839176913136E-2</v>
      </c>
      <c r="J16" s="277">
        <f t="shared" si="4"/>
        <v>1.93</v>
      </c>
      <c r="K16" s="277">
        <f t="shared" si="5"/>
        <v>1.5</v>
      </c>
      <c r="L16" s="278">
        <f t="shared" si="6"/>
        <v>0</v>
      </c>
      <c r="M16" s="276">
        <f t="shared" si="7"/>
        <v>0.39</v>
      </c>
      <c r="N16" s="277">
        <f t="shared" si="8"/>
        <v>0.3</v>
      </c>
      <c r="O16" s="278">
        <f t="shared" si="9"/>
        <v>0</v>
      </c>
      <c r="P16" s="79"/>
      <c r="Q16" s="85"/>
      <c r="R16" s="87"/>
      <c r="S16" s="109">
        <f t="shared" si="1"/>
        <v>0</v>
      </c>
      <c r="T16" s="75"/>
    </row>
    <row r="17" spans="1:20" x14ac:dyDescent="0.25">
      <c r="A17" s="69" t="s">
        <v>6</v>
      </c>
      <c r="B17" s="69">
        <v>18</v>
      </c>
      <c r="C17" s="83">
        <f>B17/10</f>
        <v>1.8</v>
      </c>
      <c r="D17" s="35"/>
      <c r="E17" s="35"/>
      <c r="F17" s="35"/>
      <c r="H17" s="79">
        <f t="shared" si="3"/>
        <v>2027</v>
      </c>
      <c r="I17" s="86">
        <f t="shared" si="2"/>
        <v>7.7582545470740172E-2</v>
      </c>
      <c r="J17" s="277">
        <f t="shared" si="4"/>
        <v>1.94</v>
      </c>
      <c r="K17" s="277">
        <f t="shared" si="5"/>
        <v>1.51</v>
      </c>
      <c r="L17" s="278">
        <f t="shared" si="6"/>
        <v>0</v>
      </c>
      <c r="M17" s="276">
        <f t="shared" si="7"/>
        <v>0.39</v>
      </c>
      <c r="N17" s="277">
        <f t="shared" si="8"/>
        <v>0.31</v>
      </c>
      <c r="O17" s="278">
        <f t="shared" si="9"/>
        <v>0</v>
      </c>
      <c r="P17" s="276">
        <f t="shared" ref="P17:P22" si="10">ABS(J17-M17)</f>
        <v>1.5499999999999998</v>
      </c>
      <c r="Q17" s="279">
        <f t="shared" ref="Q17:Q22" si="11">ABS(K17-N17)</f>
        <v>1.2</v>
      </c>
      <c r="R17" s="278">
        <f t="shared" ref="R17:R22" si="12">ABS(L17-O17)</f>
        <v>0</v>
      </c>
      <c r="S17" s="109">
        <f>((P17*$B$5)+(Q17*$B$6)+(R17*$B$7))</f>
        <v>548260</v>
      </c>
      <c r="T17" s="75"/>
    </row>
    <row r="18" spans="1:20" x14ac:dyDescent="0.25">
      <c r="A18" s="69" t="s">
        <v>7</v>
      </c>
      <c r="B18" s="69">
        <v>14</v>
      </c>
      <c r="C18" s="83">
        <f>B18/10</f>
        <v>1.4</v>
      </c>
      <c r="D18" s="42"/>
      <c r="E18" s="35"/>
      <c r="F18" s="35"/>
      <c r="H18" s="79">
        <f t="shared" si="3"/>
        <v>2028</v>
      </c>
      <c r="I18" s="86">
        <f t="shared" si="2"/>
        <v>8.5664414561770874E-2</v>
      </c>
      <c r="J18" s="277">
        <f t="shared" si="4"/>
        <v>1.96</v>
      </c>
      <c r="K18" s="277">
        <f t="shared" si="5"/>
        <v>1.52</v>
      </c>
      <c r="L18" s="278">
        <f t="shared" si="6"/>
        <v>0</v>
      </c>
      <c r="M18" s="276">
        <f>ROUNDUP(J18*$C$23,2)</f>
        <v>0.4</v>
      </c>
      <c r="N18" s="277">
        <f t="shared" si="8"/>
        <v>0.31</v>
      </c>
      <c r="O18" s="278">
        <f t="shared" si="9"/>
        <v>0</v>
      </c>
      <c r="P18" s="276">
        <f t="shared" si="10"/>
        <v>1.56</v>
      </c>
      <c r="Q18" s="279">
        <f t="shared" si="11"/>
        <v>1.21</v>
      </c>
      <c r="R18" s="278">
        <f t="shared" si="12"/>
        <v>0</v>
      </c>
      <c r="S18" s="109">
        <f t="shared" si="1"/>
        <v>552816</v>
      </c>
      <c r="T18" s="75"/>
    </row>
    <row r="19" spans="1:20" ht="15.75" thickBot="1" x14ac:dyDescent="0.3">
      <c r="A19" s="71" t="s">
        <v>9</v>
      </c>
      <c r="B19" s="71">
        <v>0</v>
      </c>
      <c r="C19" s="84">
        <f>B19/10</f>
        <v>0</v>
      </c>
      <c r="D19" s="42"/>
      <c r="E19" s="35"/>
      <c r="F19" s="35"/>
      <c r="H19" s="79">
        <f t="shared" si="3"/>
        <v>2029</v>
      </c>
      <c r="I19" s="86">
        <f t="shared" si="2"/>
        <v>9.3806897670984268E-2</v>
      </c>
      <c r="J19" s="277">
        <f t="shared" si="4"/>
        <v>1.97</v>
      </c>
      <c r="K19" s="277">
        <f t="shared" si="5"/>
        <v>1.54</v>
      </c>
      <c r="L19" s="278">
        <f t="shared" si="6"/>
        <v>0</v>
      </c>
      <c r="M19" s="276">
        <f t="shared" si="7"/>
        <v>0.4</v>
      </c>
      <c r="N19" s="277">
        <f t="shared" si="8"/>
        <v>0.31</v>
      </c>
      <c r="O19" s="278">
        <f t="shared" si="9"/>
        <v>0</v>
      </c>
      <c r="P19" s="276">
        <f t="shared" si="10"/>
        <v>1.5699999999999998</v>
      </c>
      <c r="Q19" s="279">
        <f t="shared" si="11"/>
        <v>1.23</v>
      </c>
      <c r="R19" s="278">
        <f t="shared" si="12"/>
        <v>0</v>
      </c>
      <c r="S19" s="109">
        <f t="shared" si="1"/>
        <v>561884</v>
      </c>
      <c r="T19" s="75"/>
    </row>
    <row r="20" spans="1:20" x14ac:dyDescent="0.25">
      <c r="A20" s="299" t="s">
        <v>200</v>
      </c>
      <c r="B20" s="271" t="s">
        <v>33</v>
      </c>
      <c r="C20" s="271"/>
      <c r="D20" s="42"/>
      <c r="E20" s="35"/>
      <c r="F20" s="35"/>
      <c r="H20" s="79">
        <f t="shared" si="3"/>
        <v>2030</v>
      </c>
      <c r="I20" s="86">
        <f t="shared" si="2"/>
        <v>0.10201044940351656</v>
      </c>
      <c r="J20" s="277">
        <f t="shared" si="4"/>
        <v>1.99</v>
      </c>
      <c r="K20" s="277">
        <f t="shared" si="5"/>
        <v>1.55</v>
      </c>
      <c r="L20" s="278">
        <f t="shared" si="6"/>
        <v>0</v>
      </c>
      <c r="M20" s="276">
        <f t="shared" si="7"/>
        <v>0.4</v>
      </c>
      <c r="N20" s="277">
        <f t="shared" si="8"/>
        <v>0.31</v>
      </c>
      <c r="O20" s="278">
        <f t="shared" si="9"/>
        <v>0</v>
      </c>
      <c r="P20" s="276">
        <f t="shared" si="10"/>
        <v>1.5899999999999999</v>
      </c>
      <c r="Q20" s="279">
        <f t="shared" si="11"/>
        <v>1.24</v>
      </c>
      <c r="R20" s="278">
        <f t="shared" si="12"/>
        <v>0</v>
      </c>
      <c r="S20" s="109">
        <f t="shared" si="1"/>
        <v>566484</v>
      </c>
      <c r="T20" s="75"/>
    </row>
    <row r="21" spans="1:20" ht="15.75" thickBot="1" x14ac:dyDescent="0.3">
      <c r="A21" s="42"/>
      <c r="B21" s="42"/>
      <c r="C21" s="42"/>
      <c r="D21" s="42"/>
      <c r="E21" s="35"/>
      <c r="F21" s="35"/>
      <c r="H21" s="79">
        <f t="shared" si="3"/>
        <v>2031</v>
      </c>
      <c r="I21" s="86">
        <f t="shared" si="2"/>
        <v>0.11027552777404326</v>
      </c>
      <c r="J21" s="277">
        <f t="shared" si="4"/>
        <v>2</v>
      </c>
      <c r="K21" s="277">
        <f t="shared" si="5"/>
        <v>1.56</v>
      </c>
      <c r="L21" s="278">
        <f t="shared" si="6"/>
        <v>0</v>
      </c>
      <c r="M21" s="276">
        <f t="shared" si="7"/>
        <v>0.4</v>
      </c>
      <c r="N21" s="277">
        <f t="shared" si="8"/>
        <v>0.32</v>
      </c>
      <c r="O21" s="278">
        <f t="shared" si="9"/>
        <v>0</v>
      </c>
      <c r="P21" s="276">
        <f t="shared" si="10"/>
        <v>1.6</v>
      </c>
      <c r="Q21" s="279">
        <f t="shared" si="11"/>
        <v>1.24</v>
      </c>
      <c r="R21" s="278">
        <f t="shared" si="12"/>
        <v>0</v>
      </c>
      <c r="S21" s="109">
        <f t="shared" si="1"/>
        <v>566528</v>
      </c>
      <c r="T21" s="75"/>
    </row>
    <row r="22" spans="1:20" ht="18" thickBot="1" x14ac:dyDescent="0.3">
      <c r="A22" s="549" t="s">
        <v>201</v>
      </c>
      <c r="B22" s="550"/>
      <c r="C22" s="557"/>
      <c r="D22" s="35"/>
      <c r="E22" s="35"/>
      <c r="F22" s="35"/>
      <c r="H22" s="79">
        <f t="shared" si="3"/>
        <v>2032</v>
      </c>
      <c r="I22" s="86">
        <f t="shared" si="2"/>
        <v>0.11860259423234876</v>
      </c>
      <c r="J22" s="277">
        <f t="shared" si="4"/>
        <v>2.0199999999999996</v>
      </c>
      <c r="K22" s="277">
        <f t="shared" si="5"/>
        <v>1.57</v>
      </c>
      <c r="L22" s="278">
        <f t="shared" si="6"/>
        <v>0</v>
      </c>
      <c r="M22" s="276">
        <f t="shared" si="7"/>
        <v>0.41000000000000003</v>
      </c>
      <c r="N22" s="277">
        <f t="shared" si="8"/>
        <v>0.32</v>
      </c>
      <c r="O22" s="278">
        <f t="shared" si="9"/>
        <v>0</v>
      </c>
      <c r="P22" s="276">
        <f t="shared" si="10"/>
        <v>1.6099999999999994</v>
      </c>
      <c r="Q22" s="279">
        <f t="shared" si="11"/>
        <v>1.25</v>
      </c>
      <c r="R22" s="278">
        <f t="shared" si="12"/>
        <v>0</v>
      </c>
      <c r="S22" s="109">
        <f t="shared" si="1"/>
        <v>571084</v>
      </c>
      <c r="T22" s="75"/>
    </row>
    <row r="23" spans="1:20" ht="15.75" thickBot="1" x14ac:dyDescent="0.3">
      <c r="A23" s="549" t="s">
        <v>35</v>
      </c>
      <c r="B23" s="550"/>
      <c r="C23" s="118">
        <v>0.2</v>
      </c>
      <c r="D23" s="35"/>
      <c r="E23" s="35"/>
      <c r="F23" s="35"/>
      <c r="H23" s="79">
        <f t="shared" si="3"/>
        <v>2033</v>
      </c>
      <c r="I23" s="86">
        <f t="shared" si="2"/>
        <v>0.12699211368909125</v>
      </c>
      <c r="J23" s="277">
        <f t="shared" si="4"/>
        <v>2.0299999999999998</v>
      </c>
      <c r="K23" s="277">
        <f t="shared" si="5"/>
        <v>1.58</v>
      </c>
      <c r="L23" s="278">
        <f t="shared" si="6"/>
        <v>0</v>
      </c>
      <c r="M23" s="276">
        <f t="shared" si="7"/>
        <v>0.41000000000000003</v>
      </c>
      <c r="N23" s="277">
        <f t="shared" si="8"/>
        <v>0.32</v>
      </c>
      <c r="O23" s="278">
        <f t="shared" si="9"/>
        <v>0</v>
      </c>
      <c r="P23" s="276">
        <f>ABS(J23-M23)</f>
        <v>1.6199999999999997</v>
      </c>
      <c r="Q23" s="279">
        <f>ABS(K23-N23)</f>
        <v>1.26</v>
      </c>
      <c r="R23" s="278">
        <f>ABS(L23-O23)</f>
        <v>0</v>
      </c>
      <c r="S23" s="109">
        <f t="shared" si="1"/>
        <v>575640</v>
      </c>
      <c r="T23" s="75"/>
    </row>
    <row r="24" spans="1:20" ht="15" customHeight="1" x14ac:dyDescent="0.25">
      <c r="A24" s="551" t="s">
        <v>202</v>
      </c>
      <c r="B24" s="551"/>
      <c r="C24" s="551"/>
      <c r="D24" s="551"/>
      <c r="E24" s="551"/>
      <c r="F24" s="551"/>
      <c r="H24" s="79">
        <f t="shared" si="3"/>
        <v>2034</v>
      </c>
      <c r="I24" s="86">
        <f t="shared" si="2"/>
        <v>0.13544455454175952</v>
      </c>
      <c r="J24" s="277">
        <f t="shared" si="4"/>
        <v>2.0499999999999998</v>
      </c>
      <c r="K24" s="277">
        <f t="shared" si="5"/>
        <v>1.59</v>
      </c>
      <c r="L24" s="278">
        <f t="shared" si="6"/>
        <v>0</v>
      </c>
      <c r="M24" s="276">
        <f t="shared" si="7"/>
        <v>0.41</v>
      </c>
      <c r="N24" s="277">
        <f t="shared" si="8"/>
        <v>0.32</v>
      </c>
      <c r="O24" s="278">
        <f t="shared" si="9"/>
        <v>0</v>
      </c>
      <c r="P24" s="276">
        <f t="shared" ref="P24:P43" si="13">ABS(J24-M24)</f>
        <v>1.64</v>
      </c>
      <c r="Q24" s="279">
        <f t="shared" ref="Q24:Q43" si="14">ABS(K24-N24)</f>
        <v>1.27</v>
      </c>
      <c r="R24" s="278">
        <f t="shared" ref="R24:R43" si="15">ABS(L24-O24)</f>
        <v>0</v>
      </c>
      <c r="S24" s="109">
        <f t="shared" si="1"/>
        <v>580240</v>
      </c>
      <c r="T24" s="75"/>
    </row>
    <row r="25" spans="1:20" x14ac:dyDescent="0.25">
      <c r="A25" s="551"/>
      <c r="B25" s="551"/>
      <c r="C25" s="551"/>
      <c r="D25" s="551"/>
      <c r="E25" s="551"/>
      <c r="F25" s="551"/>
      <c r="H25" s="79">
        <f t="shared" si="3"/>
        <v>2035</v>
      </c>
      <c r="I25" s="86">
        <f t="shared" si="2"/>
        <v>0.14396038870082295</v>
      </c>
      <c r="J25" s="277">
        <f t="shared" si="4"/>
        <v>2.0599999999999996</v>
      </c>
      <c r="K25" s="277">
        <f t="shared" si="5"/>
        <v>1.61</v>
      </c>
      <c r="L25" s="278">
        <f t="shared" si="6"/>
        <v>0</v>
      </c>
      <c r="M25" s="276">
        <f t="shared" si="7"/>
        <v>0.42</v>
      </c>
      <c r="N25" s="277">
        <f t="shared" si="8"/>
        <v>0.33</v>
      </c>
      <c r="O25" s="278">
        <f t="shared" si="9"/>
        <v>0</v>
      </c>
      <c r="P25" s="276">
        <f t="shared" si="13"/>
        <v>1.6399999999999997</v>
      </c>
      <c r="Q25" s="279">
        <f t="shared" si="14"/>
        <v>1.28</v>
      </c>
      <c r="R25" s="278">
        <f t="shared" si="15"/>
        <v>0</v>
      </c>
      <c r="S25" s="109">
        <f t="shared" si="1"/>
        <v>584752</v>
      </c>
      <c r="T25" s="75"/>
    </row>
    <row r="26" spans="1:20" x14ac:dyDescent="0.25">
      <c r="E26" s="35"/>
      <c r="F26" s="35"/>
      <c r="H26" s="79">
        <f t="shared" si="3"/>
        <v>2036</v>
      </c>
      <c r="I26" s="86">
        <f t="shared" si="2"/>
        <v>0.15254009161607907</v>
      </c>
      <c r="J26" s="277">
        <f t="shared" si="4"/>
        <v>2.0799999999999996</v>
      </c>
      <c r="K26" s="277">
        <f t="shared" si="5"/>
        <v>1.62</v>
      </c>
      <c r="L26" s="278">
        <f t="shared" si="6"/>
        <v>0</v>
      </c>
      <c r="M26" s="276">
        <f t="shared" si="7"/>
        <v>0.42</v>
      </c>
      <c r="N26" s="277">
        <f t="shared" si="8"/>
        <v>0.33</v>
      </c>
      <c r="O26" s="278">
        <f t="shared" si="9"/>
        <v>0</v>
      </c>
      <c r="P26" s="276">
        <f t="shared" si="13"/>
        <v>1.6599999999999997</v>
      </c>
      <c r="Q26" s="279">
        <f t="shared" si="14"/>
        <v>1.29</v>
      </c>
      <c r="R26" s="278">
        <f t="shared" si="15"/>
        <v>0</v>
      </c>
      <c r="S26" s="109">
        <f t="shared" si="1"/>
        <v>589352</v>
      </c>
      <c r="T26" s="75"/>
    </row>
    <row r="27" spans="1:20" x14ac:dyDescent="0.25">
      <c r="E27" s="35"/>
      <c r="F27" s="35"/>
      <c r="H27" s="79">
        <f t="shared" si="3"/>
        <v>2037</v>
      </c>
      <c r="I27" s="86">
        <f t="shared" si="2"/>
        <v>0.16118414230319988</v>
      </c>
      <c r="J27" s="277">
        <f t="shared" si="4"/>
        <v>2.0999999999999996</v>
      </c>
      <c r="K27" s="277">
        <f t="shared" si="5"/>
        <v>1.6300000000000001</v>
      </c>
      <c r="L27" s="278">
        <f t="shared" si="6"/>
        <v>0</v>
      </c>
      <c r="M27" s="276">
        <f t="shared" si="7"/>
        <v>0.42</v>
      </c>
      <c r="N27" s="277">
        <f t="shared" si="8"/>
        <v>0.33</v>
      </c>
      <c r="O27" s="278">
        <f t="shared" si="9"/>
        <v>0</v>
      </c>
      <c r="P27" s="276">
        <f t="shared" si="13"/>
        <v>1.6799999999999997</v>
      </c>
      <c r="Q27" s="279">
        <f t="shared" si="14"/>
        <v>1.3</v>
      </c>
      <c r="R27" s="278">
        <f t="shared" si="15"/>
        <v>0</v>
      </c>
      <c r="S27" s="109">
        <f t="shared" si="1"/>
        <v>593952</v>
      </c>
      <c r="T27" s="75"/>
    </row>
    <row r="28" spans="1:20" x14ac:dyDescent="0.25">
      <c r="D28" s="35"/>
      <c r="E28" s="35"/>
      <c r="F28" s="35"/>
      <c r="H28" s="79">
        <f t="shared" si="3"/>
        <v>2038</v>
      </c>
      <c r="I28" s="86">
        <f t="shared" si="2"/>
        <v>0.16989302337047385</v>
      </c>
      <c r="J28" s="277">
        <f t="shared" si="4"/>
        <v>2.11</v>
      </c>
      <c r="K28" s="277">
        <f t="shared" si="5"/>
        <v>1.64</v>
      </c>
      <c r="L28" s="278">
        <f t="shared" si="6"/>
        <v>0</v>
      </c>
      <c r="M28" s="276">
        <f t="shared" si="7"/>
        <v>0.43</v>
      </c>
      <c r="N28" s="277">
        <f t="shared" si="8"/>
        <v>0.33</v>
      </c>
      <c r="O28" s="278">
        <f t="shared" si="9"/>
        <v>0</v>
      </c>
      <c r="P28" s="276">
        <f t="shared" si="13"/>
        <v>1.68</v>
      </c>
      <c r="Q28" s="279">
        <f t="shared" si="14"/>
        <v>1.3099999999999998</v>
      </c>
      <c r="R28" s="278">
        <f t="shared" si="15"/>
        <v>0</v>
      </c>
      <c r="S28" s="109">
        <f t="shared" si="1"/>
        <v>598463.99999999988</v>
      </c>
      <c r="T28" s="75"/>
    </row>
    <row r="29" spans="1:20" x14ac:dyDescent="0.25">
      <c r="D29" s="35"/>
      <c r="E29" s="35"/>
      <c r="F29" s="35"/>
      <c r="H29" s="79">
        <f t="shared" si="3"/>
        <v>2039</v>
      </c>
      <c r="I29" s="86">
        <f t="shared" si="2"/>
        <v>0.17866722104575272</v>
      </c>
      <c r="J29" s="277">
        <f t="shared" si="4"/>
        <v>2.13</v>
      </c>
      <c r="K29" s="277">
        <f t="shared" si="5"/>
        <v>1.66</v>
      </c>
      <c r="L29" s="278">
        <f t="shared" si="6"/>
        <v>0</v>
      </c>
      <c r="M29" s="276">
        <f t="shared" si="7"/>
        <v>0.43</v>
      </c>
      <c r="N29" s="277">
        <f t="shared" si="8"/>
        <v>0.34</v>
      </c>
      <c r="O29" s="278">
        <f t="shared" si="9"/>
        <v>0</v>
      </c>
      <c r="P29" s="276">
        <f t="shared" si="13"/>
        <v>1.7</v>
      </c>
      <c r="Q29" s="279">
        <f t="shared" si="14"/>
        <v>1.3199999999999998</v>
      </c>
      <c r="R29" s="278">
        <f t="shared" si="15"/>
        <v>0</v>
      </c>
      <c r="S29" s="109">
        <f t="shared" si="1"/>
        <v>603063.99999999988</v>
      </c>
      <c r="T29" s="75"/>
    </row>
    <row r="30" spans="1:20" x14ac:dyDescent="0.25">
      <c r="D30" s="35"/>
      <c r="E30" s="35"/>
      <c r="F30" s="35"/>
      <c r="H30" s="79">
        <f t="shared" si="3"/>
        <v>2040</v>
      </c>
      <c r="I30" s="86">
        <f t="shared" si="2"/>
        <v>0.18750722520359586</v>
      </c>
      <c r="J30" s="277">
        <f t="shared" si="4"/>
        <v>2.1399999999999997</v>
      </c>
      <c r="K30" s="277">
        <f t="shared" si="5"/>
        <v>1.67</v>
      </c>
      <c r="L30" s="278">
        <f t="shared" si="6"/>
        <v>0</v>
      </c>
      <c r="M30" s="276">
        <f t="shared" si="7"/>
        <v>0.43</v>
      </c>
      <c r="N30" s="277">
        <f t="shared" si="8"/>
        <v>0.34</v>
      </c>
      <c r="O30" s="278">
        <f t="shared" si="9"/>
        <v>0</v>
      </c>
      <c r="P30" s="276">
        <f t="shared" si="13"/>
        <v>1.7099999999999997</v>
      </c>
      <c r="Q30" s="279">
        <f t="shared" si="14"/>
        <v>1.3299999999999998</v>
      </c>
      <c r="R30" s="278">
        <f t="shared" si="15"/>
        <v>0</v>
      </c>
      <c r="S30" s="109">
        <f t="shared" si="1"/>
        <v>607619.99999999988</v>
      </c>
      <c r="T30" s="75"/>
    </row>
    <row r="31" spans="1:20" ht="15" customHeight="1" x14ac:dyDescent="0.25">
      <c r="D31" s="35"/>
      <c r="E31" s="35"/>
      <c r="F31" s="35"/>
      <c r="G31" s="35"/>
      <c r="H31" s="79">
        <f t="shared" si="3"/>
        <v>2041</v>
      </c>
      <c r="I31" s="86">
        <f t="shared" si="2"/>
        <v>0.1964135293926228</v>
      </c>
      <c r="J31" s="277">
        <f t="shared" si="4"/>
        <v>2.1599999999999997</v>
      </c>
      <c r="K31" s="277">
        <f t="shared" si="5"/>
        <v>1.68</v>
      </c>
      <c r="L31" s="278">
        <f t="shared" si="6"/>
        <v>0</v>
      </c>
      <c r="M31" s="276">
        <f t="shared" si="7"/>
        <v>0.44</v>
      </c>
      <c r="N31" s="277">
        <f t="shared" si="8"/>
        <v>0.34</v>
      </c>
      <c r="O31" s="278">
        <f t="shared" si="9"/>
        <v>0</v>
      </c>
      <c r="P31" s="276">
        <f t="shared" si="13"/>
        <v>1.7199999999999998</v>
      </c>
      <c r="Q31" s="279">
        <f t="shared" si="14"/>
        <v>1.3399999999999999</v>
      </c>
      <c r="R31" s="278">
        <f t="shared" si="15"/>
        <v>0</v>
      </c>
      <c r="S31" s="109">
        <f t="shared" si="1"/>
        <v>612175.99999999988</v>
      </c>
      <c r="T31" s="75"/>
    </row>
    <row r="32" spans="1:20" x14ac:dyDescent="0.25">
      <c r="F32" s="35"/>
      <c r="G32" s="35"/>
      <c r="H32" s="79">
        <f t="shared" si="3"/>
        <v>2042</v>
      </c>
      <c r="I32" s="86">
        <f t="shared" si="2"/>
        <v>0.20538663086306763</v>
      </c>
      <c r="J32" s="277">
        <f t="shared" si="4"/>
        <v>2.17</v>
      </c>
      <c r="K32" s="277">
        <f t="shared" si="5"/>
        <v>1.69</v>
      </c>
      <c r="L32" s="278">
        <f t="shared" si="6"/>
        <v>0</v>
      </c>
      <c r="M32" s="276">
        <f t="shared" si="7"/>
        <v>0.44</v>
      </c>
      <c r="N32" s="277">
        <f t="shared" si="8"/>
        <v>0.34</v>
      </c>
      <c r="O32" s="278">
        <f t="shared" si="9"/>
        <v>0</v>
      </c>
      <c r="P32" s="276">
        <f t="shared" si="13"/>
        <v>1.73</v>
      </c>
      <c r="Q32" s="279">
        <f t="shared" si="14"/>
        <v>1.3499999999999999</v>
      </c>
      <c r="R32" s="278">
        <f t="shared" si="15"/>
        <v>0</v>
      </c>
      <c r="S32" s="109">
        <f t="shared" si="1"/>
        <v>616731.99999999988</v>
      </c>
      <c r="T32" s="75"/>
    </row>
    <row r="33" spans="1:26" x14ac:dyDescent="0.25">
      <c r="F33" s="35"/>
      <c r="G33" s="35"/>
      <c r="H33" s="79">
        <f t="shared" si="3"/>
        <v>2043</v>
      </c>
      <c r="I33" s="86">
        <f t="shared" si="2"/>
        <v>0.21442703059454082</v>
      </c>
      <c r="J33" s="277">
        <f t="shared" si="4"/>
        <v>2.19</v>
      </c>
      <c r="K33" s="277">
        <f t="shared" si="5"/>
        <v>1.71</v>
      </c>
      <c r="L33" s="278">
        <f t="shared" si="6"/>
        <v>0</v>
      </c>
      <c r="M33" s="276">
        <f t="shared" si="7"/>
        <v>0.44</v>
      </c>
      <c r="N33" s="277">
        <f t="shared" si="8"/>
        <v>0.35000000000000003</v>
      </c>
      <c r="O33" s="278">
        <f t="shared" si="9"/>
        <v>0</v>
      </c>
      <c r="P33" s="276">
        <f t="shared" si="13"/>
        <v>1.75</v>
      </c>
      <c r="Q33" s="279">
        <f t="shared" si="14"/>
        <v>1.3599999999999999</v>
      </c>
      <c r="R33" s="278">
        <f t="shared" si="15"/>
        <v>0</v>
      </c>
      <c r="S33" s="109">
        <f t="shared" si="1"/>
        <v>621332</v>
      </c>
      <c r="T33" s="75"/>
    </row>
    <row r="34" spans="1:26" x14ac:dyDescent="0.25">
      <c r="F34" s="35"/>
      <c r="G34" s="35"/>
      <c r="H34" s="79">
        <f t="shared" si="3"/>
        <v>2044</v>
      </c>
      <c r="I34" s="86">
        <f t="shared" si="2"/>
        <v>0.22353523332399994</v>
      </c>
      <c r="J34" s="277">
        <f t="shared" si="4"/>
        <v>2.21</v>
      </c>
      <c r="K34" s="277">
        <f t="shared" si="5"/>
        <v>1.72</v>
      </c>
      <c r="L34" s="278">
        <f t="shared" si="6"/>
        <v>0</v>
      </c>
      <c r="M34" s="276">
        <f t="shared" si="7"/>
        <v>0.45</v>
      </c>
      <c r="N34" s="277">
        <f t="shared" si="8"/>
        <v>0.35000000000000003</v>
      </c>
      <c r="O34" s="278">
        <f t="shared" si="9"/>
        <v>0</v>
      </c>
      <c r="P34" s="276">
        <f t="shared" si="13"/>
        <v>1.76</v>
      </c>
      <c r="Q34" s="279">
        <f t="shared" si="14"/>
        <v>1.3699999999999999</v>
      </c>
      <c r="R34" s="278">
        <f t="shared" si="15"/>
        <v>0</v>
      </c>
      <c r="S34" s="109">
        <f t="shared" si="1"/>
        <v>625888</v>
      </c>
      <c r="T34" s="75"/>
    </row>
    <row r="35" spans="1:26" x14ac:dyDescent="0.25">
      <c r="F35" s="35"/>
      <c r="G35" s="35"/>
      <c r="H35" s="79">
        <f t="shared" si="3"/>
        <v>2045</v>
      </c>
      <c r="I35" s="86">
        <f t="shared" si="2"/>
        <v>0.23271174757393021</v>
      </c>
      <c r="J35" s="277">
        <f t="shared" si="4"/>
        <v>2.2199999999999998</v>
      </c>
      <c r="K35" s="277">
        <f t="shared" si="5"/>
        <v>1.73</v>
      </c>
      <c r="L35" s="278">
        <f t="shared" si="6"/>
        <v>0</v>
      </c>
      <c r="M35" s="276">
        <f t="shared" si="7"/>
        <v>0.45</v>
      </c>
      <c r="N35" s="277">
        <f t="shared" si="8"/>
        <v>0.35000000000000003</v>
      </c>
      <c r="O35" s="278">
        <f t="shared" si="9"/>
        <v>0</v>
      </c>
      <c r="P35" s="276">
        <f t="shared" si="13"/>
        <v>1.7699999999999998</v>
      </c>
      <c r="Q35" s="279">
        <f t="shared" si="14"/>
        <v>1.38</v>
      </c>
      <c r="R35" s="278">
        <f t="shared" si="15"/>
        <v>0</v>
      </c>
      <c r="S35" s="109">
        <f t="shared" si="1"/>
        <v>630444</v>
      </c>
      <c r="T35" s="75"/>
    </row>
    <row r="36" spans="1:26" ht="15" customHeight="1" x14ac:dyDescent="0.25">
      <c r="F36" s="35"/>
      <c r="G36" s="35"/>
      <c r="H36" s="79">
        <f t="shared" si="3"/>
        <v>2046</v>
      </c>
      <c r="I36" s="86">
        <f t="shared" si="2"/>
        <v>0.24195708568073448</v>
      </c>
      <c r="J36" s="277">
        <f t="shared" si="4"/>
        <v>2.2399999999999998</v>
      </c>
      <c r="K36" s="277">
        <f t="shared" si="5"/>
        <v>1.74</v>
      </c>
      <c r="L36" s="278">
        <f t="shared" si="6"/>
        <v>0</v>
      </c>
      <c r="M36" s="276">
        <f t="shared" si="7"/>
        <v>0.45</v>
      </c>
      <c r="N36" s="277">
        <f t="shared" si="8"/>
        <v>0.35000000000000003</v>
      </c>
      <c r="O36" s="278">
        <f t="shared" si="9"/>
        <v>0</v>
      </c>
      <c r="P36" s="276">
        <f t="shared" si="13"/>
        <v>1.7899999999999998</v>
      </c>
      <c r="Q36" s="279">
        <f t="shared" si="14"/>
        <v>1.39</v>
      </c>
      <c r="R36" s="278">
        <f t="shared" si="15"/>
        <v>0</v>
      </c>
      <c r="S36" s="109">
        <f t="shared" si="1"/>
        <v>635044</v>
      </c>
      <c r="T36" s="75"/>
    </row>
    <row r="37" spans="1:26" x14ac:dyDescent="0.25">
      <c r="F37" s="35"/>
      <c r="G37" s="35"/>
      <c r="H37" s="79">
        <f t="shared" si="3"/>
        <v>2047</v>
      </c>
      <c r="I37" s="86">
        <f t="shared" si="2"/>
        <v>0.25127176382334038</v>
      </c>
      <c r="J37" s="277">
        <f t="shared" si="4"/>
        <v>2.2599999999999998</v>
      </c>
      <c r="K37" s="277">
        <f t="shared" si="5"/>
        <v>1.76</v>
      </c>
      <c r="L37" s="278">
        <f t="shared" si="6"/>
        <v>0</v>
      </c>
      <c r="M37" s="276">
        <f t="shared" si="7"/>
        <v>0.46</v>
      </c>
      <c r="N37" s="277">
        <f t="shared" si="8"/>
        <v>0.36</v>
      </c>
      <c r="O37" s="278">
        <f t="shared" si="9"/>
        <v>0</v>
      </c>
      <c r="P37" s="276">
        <f t="shared" si="13"/>
        <v>1.7999999999999998</v>
      </c>
      <c r="Q37" s="279">
        <f t="shared" si="14"/>
        <v>1.4</v>
      </c>
      <c r="R37" s="278">
        <f t="shared" si="15"/>
        <v>0</v>
      </c>
      <c r="S37" s="112">
        <f t="shared" si="1"/>
        <v>639600</v>
      </c>
      <c r="T37" s="75"/>
    </row>
    <row r="38" spans="1:26" x14ac:dyDescent="0.25">
      <c r="F38" s="35"/>
      <c r="G38" s="35"/>
      <c r="H38" s="79">
        <f t="shared" si="3"/>
        <v>2048</v>
      </c>
      <c r="I38" s="86">
        <f t="shared" si="2"/>
        <v>0.26065630205201562</v>
      </c>
      <c r="J38" s="277">
        <f t="shared" si="4"/>
        <v>2.2699999999999996</v>
      </c>
      <c r="K38" s="277">
        <f t="shared" si="5"/>
        <v>1.77</v>
      </c>
      <c r="L38" s="278">
        <f t="shared" si="6"/>
        <v>0</v>
      </c>
      <c r="M38" s="276">
        <f t="shared" si="7"/>
        <v>0.46</v>
      </c>
      <c r="N38" s="277">
        <f t="shared" si="8"/>
        <v>0.36</v>
      </c>
      <c r="O38" s="278">
        <f t="shared" si="9"/>
        <v>0</v>
      </c>
      <c r="P38" s="276">
        <f t="shared" si="13"/>
        <v>1.8099999999999996</v>
      </c>
      <c r="Q38" s="279">
        <f t="shared" si="14"/>
        <v>1.4100000000000001</v>
      </c>
      <c r="R38" s="278">
        <f t="shared" si="15"/>
        <v>0</v>
      </c>
      <c r="S38" s="113">
        <f t="shared" si="1"/>
        <v>644156.00000000012</v>
      </c>
      <c r="T38" s="75"/>
    </row>
    <row r="39" spans="1:26" x14ac:dyDescent="0.25">
      <c r="A39" s="44"/>
      <c r="B39" s="44"/>
      <c r="C39" s="44"/>
      <c r="F39" s="35"/>
      <c r="G39" s="35"/>
      <c r="H39" s="79">
        <f t="shared" si="3"/>
        <v>2049</v>
      </c>
      <c r="I39" s="86">
        <f t="shared" si="2"/>
        <v>0.27011122431740553</v>
      </c>
      <c r="J39" s="277">
        <f t="shared" si="4"/>
        <v>2.2899999999999996</v>
      </c>
      <c r="K39" s="277">
        <f t="shared" si="5"/>
        <v>1.78</v>
      </c>
      <c r="L39" s="278">
        <f t="shared" si="6"/>
        <v>0</v>
      </c>
      <c r="M39" s="276">
        <f t="shared" si="7"/>
        <v>0.46</v>
      </c>
      <c r="N39" s="277">
        <f t="shared" si="8"/>
        <v>0.36</v>
      </c>
      <c r="O39" s="278">
        <f t="shared" si="9"/>
        <v>0</v>
      </c>
      <c r="P39" s="276">
        <f t="shared" si="13"/>
        <v>1.8299999999999996</v>
      </c>
      <c r="Q39" s="279">
        <f t="shared" si="14"/>
        <v>1.42</v>
      </c>
      <c r="R39" s="278">
        <f t="shared" si="15"/>
        <v>0</v>
      </c>
      <c r="S39" s="109">
        <f t="shared" si="1"/>
        <v>648756</v>
      </c>
      <c r="T39" s="75"/>
    </row>
    <row r="40" spans="1:26" x14ac:dyDescent="0.25">
      <c r="A40" s="10"/>
      <c r="B40" s="10"/>
      <c r="C40" s="10"/>
      <c r="F40" s="35"/>
      <c r="G40" s="35"/>
      <c r="H40" s="79">
        <f t="shared" si="3"/>
        <v>2050</v>
      </c>
      <c r="I40" s="86">
        <f t="shared" si="2"/>
        <v>0.27963705849978604</v>
      </c>
      <c r="J40" s="277">
        <f t="shared" si="4"/>
        <v>2.3099999999999996</v>
      </c>
      <c r="K40" s="277">
        <f t="shared" si="5"/>
        <v>1.8</v>
      </c>
      <c r="L40" s="278">
        <f t="shared" si="6"/>
        <v>0</v>
      </c>
      <c r="M40" s="276">
        <f t="shared" si="7"/>
        <v>0.47000000000000003</v>
      </c>
      <c r="N40" s="277">
        <f t="shared" si="8"/>
        <v>0.36</v>
      </c>
      <c r="O40" s="278">
        <f t="shared" si="9"/>
        <v>0</v>
      </c>
      <c r="P40" s="276">
        <f t="shared" si="13"/>
        <v>1.8399999999999996</v>
      </c>
      <c r="Q40" s="279">
        <f t="shared" si="14"/>
        <v>1.44</v>
      </c>
      <c r="R40" s="278">
        <f t="shared" si="15"/>
        <v>0</v>
      </c>
      <c r="S40" s="109">
        <f t="shared" si="1"/>
        <v>657824</v>
      </c>
      <c r="T40" s="75"/>
    </row>
    <row r="41" spans="1:26" ht="15.75" customHeight="1" x14ac:dyDescent="0.35">
      <c r="A41" s="35" t="s">
        <v>111</v>
      </c>
      <c r="B41" s="13"/>
      <c r="C41" s="13"/>
      <c r="F41" s="35"/>
      <c r="G41" s="35"/>
      <c r="H41" s="79">
        <f t="shared" si="3"/>
        <v>2051</v>
      </c>
      <c r="I41" s="86">
        <f t="shared" si="2"/>
        <v>0.2892343364385348</v>
      </c>
      <c r="J41" s="277">
        <f t="shared" si="4"/>
        <v>2.3299999999999996</v>
      </c>
      <c r="K41" s="277">
        <f t="shared" si="5"/>
        <v>1.81</v>
      </c>
      <c r="L41" s="278">
        <f t="shared" si="6"/>
        <v>0</v>
      </c>
      <c r="M41" s="276">
        <f t="shared" si="7"/>
        <v>0.47000000000000003</v>
      </c>
      <c r="N41" s="277">
        <f t="shared" si="8"/>
        <v>0.37</v>
      </c>
      <c r="O41" s="278">
        <f t="shared" si="9"/>
        <v>0</v>
      </c>
      <c r="P41" s="276">
        <f t="shared" si="13"/>
        <v>1.8599999999999997</v>
      </c>
      <c r="Q41" s="279">
        <f t="shared" si="14"/>
        <v>1.44</v>
      </c>
      <c r="R41" s="278">
        <f t="shared" si="15"/>
        <v>0</v>
      </c>
      <c r="S41" s="109">
        <f t="shared" si="1"/>
        <v>657912</v>
      </c>
      <c r="T41" s="94"/>
      <c r="U41" s="94"/>
      <c r="V41" s="94"/>
      <c r="W41" s="94"/>
      <c r="X41" s="94"/>
      <c r="Y41" s="94"/>
      <c r="Z41" s="94"/>
    </row>
    <row r="42" spans="1:26" x14ac:dyDescent="0.25">
      <c r="A42" s="191" t="s">
        <v>36</v>
      </c>
      <c r="B42" s="300" t="s">
        <v>112</v>
      </c>
      <c r="C42" s="189">
        <v>7.4999999999999997E-3</v>
      </c>
      <c r="D42" t="s">
        <v>113</v>
      </c>
      <c r="F42" s="35"/>
      <c r="G42" s="35"/>
      <c r="H42" s="79">
        <f t="shared" si="3"/>
        <v>2052</v>
      </c>
      <c r="I42" s="86">
        <f t="shared" si="2"/>
        <v>0.29890359396182387</v>
      </c>
      <c r="J42" s="277">
        <f t="shared" si="4"/>
        <v>2.34</v>
      </c>
      <c r="K42" s="277">
        <f t="shared" si="5"/>
        <v>1.82</v>
      </c>
      <c r="L42" s="278">
        <f t="shared" si="6"/>
        <v>0</v>
      </c>
      <c r="M42" s="276">
        <f t="shared" si="7"/>
        <v>0.47000000000000003</v>
      </c>
      <c r="N42" s="277">
        <f t="shared" si="8"/>
        <v>0.37</v>
      </c>
      <c r="O42" s="278">
        <f t="shared" si="9"/>
        <v>0</v>
      </c>
      <c r="P42" s="276">
        <f t="shared" si="13"/>
        <v>1.8699999999999999</v>
      </c>
      <c r="Q42" s="279">
        <f t="shared" si="14"/>
        <v>1.4500000000000002</v>
      </c>
      <c r="R42" s="278">
        <f t="shared" si="15"/>
        <v>0</v>
      </c>
      <c r="S42" s="109">
        <f t="shared" si="1"/>
        <v>662468.00000000012</v>
      </c>
      <c r="T42" s="94"/>
      <c r="U42" s="94"/>
      <c r="V42" s="94"/>
      <c r="W42" s="94"/>
      <c r="X42" s="94"/>
      <c r="Y42" s="94"/>
      <c r="Z42" s="94"/>
    </row>
    <row r="43" spans="1:26" x14ac:dyDescent="0.25">
      <c r="A43" s="192" t="s">
        <v>37</v>
      </c>
      <c r="B43" t="s">
        <v>116</v>
      </c>
      <c r="F43" s="35"/>
      <c r="G43" s="35"/>
      <c r="H43" s="79">
        <f t="shared" si="3"/>
        <v>2053</v>
      </c>
      <c r="I43" s="86">
        <f t="shared" si="2"/>
        <v>0.30864537091653754</v>
      </c>
      <c r="J43" s="277">
        <f t="shared" si="4"/>
        <v>2.36</v>
      </c>
      <c r="K43" s="277">
        <f t="shared" si="5"/>
        <v>1.84</v>
      </c>
      <c r="L43" s="278">
        <f t="shared" si="6"/>
        <v>0</v>
      </c>
      <c r="M43" s="276">
        <f t="shared" si="7"/>
        <v>0.48</v>
      </c>
      <c r="N43" s="277">
        <f t="shared" si="8"/>
        <v>0.37</v>
      </c>
      <c r="O43" s="278">
        <f t="shared" si="9"/>
        <v>0</v>
      </c>
      <c r="P43" s="276">
        <f t="shared" si="13"/>
        <v>1.88</v>
      </c>
      <c r="Q43" s="279">
        <f t="shared" si="14"/>
        <v>1.4700000000000002</v>
      </c>
      <c r="R43" s="278">
        <f t="shared" si="15"/>
        <v>0</v>
      </c>
      <c r="S43" s="109">
        <f t="shared" si="1"/>
        <v>671536.00000000012</v>
      </c>
      <c r="T43" s="94"/>
      <c r="U43" s="94"/>
      <c r="V43" s="94"/>
      <c r="W43" s="94"/>
      <c r="X43" s="94"/>
      <c r="Y43" s="94"/>
      <c r="Z43" s="94"/>
    </row>
    <row r="44" spans="1:26" x14ac:dyDescent="0.25">
      <c r="A44" s="9"/>
      <c r="B44" s="43"/>
      <c r="C44" s="43"/>
      <c r="F44" s="35"/>
      <c r="G44" s="37"/>
      <c r="H44" s="79">
        <f t="shared" si="3"/>
        <v>2054</v>
      </c>
      <c r="I44" s="86">
        <f t="shared" ref="I44:I45" si="16">((1+$C$42)^(H44-$H$7))-1</f>
        <v>0.31846021119841161</v>
      </c>
      <c r="J44" s="277">
        <f t="shared" ref="J44:J45" si="17">ROUNDUP($J$7*(1+I44),2)</f>
        <v>2.38</v>
      </c>
      <c r="K44" s="277">
        <f t="shared" ref="K44:K45" si="18">ROUNDUP($K$7*(1+I44),2)</f>
        <v>1.85</v>
      </c>
      <c r="L44" s="278">
        <f t="shared" ref="L44:L45" si="19">ROUNDUP($L$7*(1+I44),2)</f>
        <v>0</v>
      </c>
      <c r="M44" s="276">
        <f t="shared" ref="M44:M45" si="20">ROUNDUP(J44*$C$23,2)</f>
        <v>0.48</v>
      </c>
      <c r="N44" s="277">
        <f t="shared" ref="N44:N45" si="21">ROUNDUP(K44*$C$23,2)</f>
        <v>0.37</v>
      </c>
      <c r="O44" s="278">
        <f t="shared" ref="O44:O45" si="22">ROUNDUP(L44*$C$23,2)</f>
        <v>0</v>
      </c>
      <c r="P44" s="276">
        <f t="shared" ref="P44:P45" si="23">ABS(J44-M44)</f>
        <v>1.9</v>
      </c>
      <c r="Q44" s="279">
        <f t="shared" ref="Q44:Q45" si="24">ABS(K44-N44)</f>
        <v>1.48</v>
      </c>
      <c r="R44" s="278">
        <f t="shared" ref="R44:R45" si="25">ABS(L44-O44)</f>
        <v>0</v>
      </c>
      <c r="S44" s="109">
        <f t="shared" ref="S44:S45" si="26">((P44*$B$5)+(Q44*$B$6)+(R44*$B$7))</f>
        <v>676136</v>
      </c>
      <c r="T44" s="75"/>
    </row>
    <row r="45" spans="1:26" ht="15" customHeight="1" x14ac:dyDescent="0.25">
      <c r="A45" s="43"/>
      <c r="B45" s="43"/>
      <c r="C45" s="43"/>
      <c r="F45" s="35"/>
      <c r="G45" s="37"/>
      <c r="H45" s="79">
        <f t="shared" si="3"/>
        <v>2055</v>
      </c>
      <c r="I45" s="86">
        <f t="shared" si="16"/>
        <v>0.32834866278239994</v>
      </c>
      <c r="J45" s="277">
        <f t="shared" si="17"/>
        <v>2.4</v>
      </c>
      <c r="K45" s="277">
        <f t="shared" si="18"/>
        <v>1.86</v>
      </c>
      <c r="L45" s="278">
        <f t="shared" si="19"/>
        <v>0</v>
      </c>
      <c r="M45" s="276">
        <f t="shared" si="20"/>
        <v>0.48</v>
      </c>
      <c r="N45" s="277">
        <f t="shared" si="21"/>
        <v>0.38</v>
      </c>
      <c r="O45" s="278">
        <f t="shared" si="22"/>
        <v>0</v>
      </c>
      <c r="P45" s="276">
        <f t="shared" si="23"/>
        <v>1.92</v>
      </c>
      <c r="Q45" s="279">
        <f t="shared" si="24"/>
        <v>1.48</v>
      </c>
      <c r="R45" s="278">
        <f t="shared" si="25"/>
        <v>0</v>
      </c>
      <c r="S45" s="109">
        <f t="shared" si="26"/>
        <v>676224</v>
      </c>
      <c r="T45" s="75"/>
    </row>
    <row r="46" spans="1:26" x14ac:dyDescent="0.25">
      <c r="A46" s="9"/>
      <c r="B46" s="43"/>
      <c r="C46" s="43"/>
      <c r="F46" s="35"/>
      <c r="G46" s="37"/>
      <c r="H46" s="79">
        <f t="shared" ref="H46:H47" si="27">H45+1</f>
        <v>2056</v>
      </c>
      <c r="I46" s="86">
        <f t="shared" ref="I46:I47" si="28">((1+$C$42)^(H46-$H$7))-1</f>
        <v>0.33831127775326819</v>
      </c>
      <c r="J46" s="277">
        <f t="shared" ref="J46:J47" si="29">ROUNDUP($J$7*(1+I46),2)</f>
        <v>2.4099999999999997</v>
      </c>
      <c r="K46" s="277">
        <f t="shared" ref="K46:K47" si="30">ROUNDUP($K$7*(1+I46),2)</f>
        <v>1.8800000000000001</v>
      </c>
      <c r="L46" s="278">
        <f t="shared" ref="L46:L47" si="31">ROUNDUP($L$7*(1+I46),2)</f>
        <v>0</v>
      </c>
      <c r="M46" s="276">
        <f t="shared" ref="M46:M47" si="32">ROUNDUP(J46*$C$23,2)</f>
        <v>0.49</v>
      </c>
      <c r="N46" s="277">
        <f t="shared" ref="N46:N47" si="33">ROUNDUP(K46*$C$23,2)</f>
        <v>0.38</v>
      </c>
      <c r="O46" s="278">
        <f t="shared" ref="O46:O47" si="34">ROUNDUP(L46*$C$23,2)</f>
        <v>0</v>
      </c>
      <c r="P46" s="276">
        <f t="shared" ref="P46:P47" si="35">ABS(J46-M46)</f>
        <v>1.9199999999999997</v>
      </c>
      <c r="Q46" s="279">
        <f t="shared" ref="Q46:Q47" si="36">ABS(K46-N46)</f>
        <v>1.5</v>
      </c>
      <c r="R46" s="278">
        <f t="shared" ref="R46:R47" si="37">ABS(L46-O46)</f>
        <v>0</v>
      </c>
      <c r="S46" s="109">
        <f t="shared" ref="S46:S47" si="38">((P46*$B$5)+(Q46*$B$6)+(R46*$B$7))</f>
        <v>685248</v>
      </c>
      <c r="T46" s="75"/>
    </row>
    <row r="47" spans="1:26" ht="15.75" thickBot="1" x14ac:dyDescent="0.3">
      <c r="A47" s="43"/>
      <c r="B47" s="43"/>
      <c r="C47" s="43"/>
      <c r="F47" s="35"/>
      <c r="G47" s="37"/>
      <c r="H47" s="80">
        <f t="shared" si="27"/>
        <v>2057</v>
      </c>
      <c r="I47" s="377">
        <f t="shared" si="28"/>
        <v>0.34834861233641767</v>
      </c>
      <c r="J47" s="378">
        <f t="shared" si="29"/>
        <v>2.4299999999999997</v>
      </c>
      <c r="K47" s="378">
        <f t="shared" si="30"/>
        <v>1.89</v>
      </c>
      <c r="L47" s="379">
        <f t="shared" si="31"/>
        <v>0</v>
      </c>
      <c r="M47" s="380">
        <f t="shared" si="32"/>
        <v>0.49</v>
      </c>
      <c r="N47" s="378">
        <f t="shared" si="33"/>
        <v>0.38</v>
      </c>
      <c r="O47" s="379">
        <f t="shared" si="34"/>
        <v>0</v>
      </c>
      <c r="P47" s="380">
        <f t="shared" si="35"/>
        <v>1.9399999999999997</v>
      </c>
      <c r="Q47" s="381">
        <f t="shared" si="36"/>
        <v>1.5099999999999998</v>
      </c>
      <c r="R47" s="379">
        <f t="shared" si="37"/>
        <v>0</v>
      </c>
      <c r="S47" s="95">
        <f t="shared" si="38"/>
        <v>689847.99999999988</v>
      </c>
      <c r="T47" s="75"/>
    </row>
    <row r="48" spans="1:26" ht="15.75" thickBot="1" x14ac:dyDescent="0.3">
      <c r="A48" s="43"/>
      <c r="B48" s="43"/>
      <c r="C48" s="43"/>
      <c r="F48" s="35"/>
      <c r="G48" s="9"/>
      <c r="H48" s="97"/>
      <c r="I48" s="98"/>
      <c r="J48" s="97"/>
      <c r="K48" s="99"/>
      <c r="L48" s="99"/>
      <c r="M48" s="99"/>
      <c r="N48" s="99"/>
      <c r="O48" s="99"/>
      <c r="P48" s="9"/>
      <c r="R48" s="96" t="s">
        <v>10</v>
      </c>
      <c r="S48" s="95">
        <f>SUM(S7:S43)</f>
        <v>16424008</v>
      </c>
      <c r="T48" s="75"/>
    </row>
    <row r="49" spans="1:20" x14ac:dyDescent="0.25">
      <c r="A49" s="9"/>
      <c r="B49" s="43"/>
      <c r="C49" s="43"/>
      <c r="F49" s="35"/>
      <c r="G49" s="9"/>
      <c r="H49" s="97"/>
      <c r="I49" s="98"/>
      <c r="J49" s="97"/>
      <c r="K49" s="99"/>
      <c r="L49" s="99"/>
      <c r="M49" s="99"/>
      <c r="N49" s="99"/>
      <c r="O49" s="99"/>
      <c r="P49" s="9"/>
      <c r="T49" s="75"/>
    </row>
    <row r="50" spans="1:20" x14ac:dyDescent="0.25">
      <c r="A50" s="43"/>
      <c r="B50" s="43"/>
      <c r="C50" s="43"/>
      <c r="G50" s="9"/>
      <c r="T50" s="75"/>
    </row>
    <row r="51" spans="1:20" x14ac:dyDescent="0.25">
      <c r="A51" s="9"/>
      <c r="B51" s="43"/>
      <c r="C51" s="43"/>
      <c r="G51" s="9"/>
      <c r="T51" s="75"/>
    </row>
    <row r="52" spans="1:20" x14ac:dyDescent="0.25">
      <c r="A52" s="43"/>
      <c r="B52" s="43"/>
      <c r="C52" s="43"/>
      <c r="G52" s="9"/>
      <c r="H52" s="97"/>
      <c r="I52" s="98"/>
      <c r="J52" s="97"/>
      <c r="K52" s="99"/>
      <c r="L52" s="99"/>
      <c r="M52" s="99"/>
      <c r="N52" s="99"/>
      <c r="O52" s="99"/>
      <c r="P52" s="9"/>
      <c r="T52" s="75"/>
    </row>
    <row r="53" spans="1:20" x14ac:dyDescent="0.25">
      <c r="A53" s="9"/>
      <c r="B53" s="43"/>
      <c r="C53" s="43"/>
      <c r="G53" s="9"/>
      <c r="H53" s="97"/>
      <c r="I53" s="98"/>
      <c r="J53" s="97"/>
      <c r="K53" s="99"/>
      <c r="L53" s="99"/>
      <c r="M53" s="99"/>
      <c r="N53" s="99"/>
      <c r="O53" s="99"/>
      <c r="P53" s="9"/>
      <c r="T53" s="75"/>
    </row>
    <row r="54" spans="1:20" x14ac:dyDescent="0.25">
      <c r="A54" s="43"/>
      <c r="B54" s="43"/>
      <c r="C54" s="43"/>
      <c r="G54" s="9"/>
      <c r="J54" s="99"/>
      <c r="K54" s="99"/>
      <c r="L54" s="99"/>
      <c r="M54" s="99"/>
      <c r="N54" s="99"/>
      <c r="O54" s="99"/>
      <c r="P54" s="9"/>
      <c r="T54" s="75"/>
    </row>
    <row r="55" spans="1:20" x14ac:dyDescent="0.25">
      <c r="A55" s="9"/>
      <c r="B55" s="43"/>
      <c r="C55" s="43"/>
      <c r="G55" s="9"/>
      <c r="J55" s="97"/>
      <c r="K55" s="99"/>
      <c r="L55" s="99"/>
      <c r="M55" s="99"/>
      <c r="N55" s="99"/>
      <c r="O55" s="99"/>
      <c r="P55" s="9"/>
      <c r="T55" s="75"/>
    </row>
    <row r="56" spans="1:20" x14ac:dyDescent="0.25">
      <c r="A56" s="43"/>
      <c r="B56" s="43"/>
      <c r="C56" s="43"/>
      <c r="G56" s="9"/>
      <c r="J56" s="97"/>
      <c r="K56" s="99"/>
      <c r="L56" s="99"/>
      <c r="M56" s="99"/>
      <c r="N56" s="99"/>
      <c r="O56" s="99"/>
      <c r="P56" s="9"/>
      <c r="T56" s="75"/>
    </row>
    <row r="57" spans="1:20" x14ac:dyDescent="0.25">
      <c r="A57" s="43"/>
      <c r="B57" s="43"/>
      <c r="C57" s="43"/>
      <c r="G57" s="9"/>
      <c r="J57" s="97"/>
      <c r="K57" s="99"/>
      <c r="L57" s="99"/>
      <c r="M57" s="99"/>
      <c r="N57" s="99"/>
      <c r="O57" s="99"/>
      <c r="P57" s="9"/>
      <c r="T57" s="75"/>
    </row>
    <row r="58" spans="1:20" x14ac:dyDescent="0.25">
      <c r="A58" s="9"/>
      <c r="B58" s="43"/>
      <c r="C58" s="43"/>
      <c r="G58" s="9"/>
      <c r="J58" s="97"/>
      <c r="K58" s="99"/>
      <c r="L58" s="99"/>
      <c r="M58" s="99"/>
      <c r="N58" s="99"/>
      <c r="O58" s="99"/>
      <c r="P58" s="9"/>
      <c r="T58" s="75"/>
    </row>
    <row r="59" spans="1:20" x14ac:dyDescent="0.25">
      <c r="A59" s="43"/>
      <c r="B59" s="43"/>
      <c r="C59" s="43"/>
      <c r="G59" s="9"/>
      <c r="J59" s="97"/>
      <c r="K59" s="99"/>
      <c r="L59" s="99"/>
      <c r="M59" s="99"/>
      <c r="N59" s="99"/>
      <c r="O59" s="99"/>
      <c r="P59" s="9"/>
      <c r="T59" s="75"/>
    </row>
    <row r="60" spans="1:20" x14ac:dyDescent="0.25">
      <c r="A60" s="9"/>
      <c r="B60" s="43"/>
      <c r="C60" s="43"/>
      <c r="G60" s="9"/>
      <c r="J60" s="97"/>
      <c r="K60" s="99"/>
      <c r="L60" s="99"/>
      <c r="M60" s="99"/>
      <c r="N60" s="99"/>
      <c r="O60" s="99"/>
      <c r="P60" s="9"/>
      <c r="Q60" s="9"/>
      <c r="T60" s="75"/>
    </row>
    <row r="61" spans="1:20" x14ac:dyDescent="0.25">
      <c r="A61" s="43"/>
      <c r="B61" s="43"/>
      <c r="C61" s="43"/>
      <c r="G61" s="9"/>
      <c r="H61" s="97"/>
      <c r="I61" s="98"/>
      <c r="J61" s="97"/>
      <c r="K61" s="99"/>
      <c r="L61" s="99"/>
      <c r="M61" s="99"/>
      <c r="N61" s="99"/>
      <c r="O61" s="99"/>
      <c r="P61" s="9"/>
      <c r="T61" s="75"/>
    </row>
    <row r="62" spans="1:20" x14ac:dyDescent="0.25">
      <c r="A62" s="9"/>
      <c r="B62" s="43"/>
      <c r="C62" s="43"/>
      <c r="G62" s="9"/>
      <c r="H62" s="97"/>
      <c r="I62" s="100"/>
      <c r="J62" s="101"/>
      <c r="K62" s="101"/>
      <c r="L62" s="99"/>
      <c r="M62" s="99"/>
      <c r="N62" s="99"/>
      <c r="O62" s="99"/>
      <c r="P62" s="102"/>
      <c r="Q62" s="75"/>
      <c r="R62" s="75"/>
      <c r="S62" s="75"/>
      <c r="T62" s="75"/>
    </row>
    <row r="63" spans="1:20" ht="15" customHeight="1" x14ac:dyDescent="0.25">
      <c r="A63" s="43"/>
      <c r="B63" s="43"/>
      <c r="C63" s="43"/>
      <c r="G63" s="9"/>
      <c r="H63" s="97"/>
      <c r="I63" s="100"/>
      <c r="J63" s="97"/>
      <c r="K63" s="101"/>
      <c r="L63" s="99"/>
      <c r="M63" s="99"/>
      <c r="N63" s="99"/>
      <c r="O63" s="99"/>
      <c r="P63" s="103"/>
      <c r="Q63" s="35"/>
      <c r="R63" s="35"/>
      <c r="S63" s="35"/>
      <c r="T63" s="75"/>
    </row>
    <row r="64" spans="1:20" x14ac:dyDescent="0.25">
      <c r="A64" s="9"/>
      <c r="B64" s="43"/>
      <c r="C64" s="43"/>
      <c r="G64" s="9"/>
      <c r="H64" s="97"/>
      <c r="I64" s="100"/>
      <c r="J64" s="97"/>
      <c r="K64" s="101"/>
      <c r="L64" s="99"/>
      <c r="M64" s="99"/>
      <c r="N64" s="99"/>
      <c r="O64" s="99"/>
      <c r="P64" s="37"/>
      <c r="Q64" s="35"/>
      <c r="R64" s="35"/>
      <c r="S64" s="35"/>
      <c r="T64" s="75"/>
    </row>
    <row r="65" spans="1:20" x14ac:dyDescent="0.25">
      <c r="A65" s="9"/>
      <c r="B65" s="9"/>
      <c r="C65" s="9"/>
      <c r="G65" s="9"/>
      <c r="H65" s="97"/>
      <c r="I65" s="100"/>
      <c r="J65" s="97"/>
      <c r="K65" s="101"/>
      <c r="L65" s="99"/>
      <c r="M65" s="99"/>
      <c r="N65" s="99"/>
      <c r="O65" s="99"/>
      <c r="P65" s="37"/>
      <c r="Q65" s="35"/>
      <c r="R65" s="35"/>
      <c r="S65" s="35"/>
      <c r="T65" s="35"/>
    </row>
    <row r="66" spans="1:20" x14ac:dyDescent="0.25">
      <c r="A66" s="9"/>
      <c r="B66" s="9"/>
      <c r="C66" s="9"/>
      <c r="G66" s="9"/>
      <c r="H66" s="97"/>
      <c r="I66" s="100"/>
      <c r="J66" s="97"/>
      <c r="K66" s="101"/>
      <c r="L66" s="99"/>
      <c r="M66" s="99"/>
      <c r="N66" s="99"/>
      <c r="O66" s="99"/>
      <c r="P66" s="37"/>
      <c r="Q66" s="35"/>
      <c r="R66" s="35"/>
      <c r="S66" s="35"/>
      <c r="T66" s="35"/>
    </row>
    <row r="67" spans="1:20" x14ac:dyDescent="0.25">
      <c r="A67" s="9"/>
      <c r="B67" s="9"/>
      <c r="C67" s="9"/>
      <c r="G67" s="9"/>
      <c r="H67" s="97"/>
      <c r="I67" s="100"/>
      <c r="J67" s="97"/>
      <c r="K67" s="101"/>
      <c r="L67" s="99"/>
      <c r="M67" s="99"/>
      <c r="N67" s="99"/>
      <c r="O67" s="99"/>
      <c r="P67" s="37"/>
      <c r="Q67" s="35"/>
      <c r="R67" s="35"/>
      <c r="S67" s="35"/>
      <c r="T67" s="35"/>
    </row>
    <row r="68" spans="1:20" x14ac:dyDescent="0.25">
      <c r="A68" s="9"/>
      <c r="B68" s="9"/>
      <c r="C68" s="9"/>
      <c r="G68" s="9"/>
      <c r="H68" s="97"/>
      <c r="I68" s="100"/>
      <c r="J68" s="97"/>
      <c r="K68" s="101"/>
      <c r="L68" s="99"/>
      <c r="M68" s="99"/>
      <c r="N68" s="99"/>
      <c r="O68" s="99"/>
      <c r="P68" s="37"/>
      <c r="Q68" s="35"/>
      <c r="R68" s="35"/>
      <c r="S68" s="35"/>
      <c r="T68" s="35"/>
    </row>
    <row r="69" spans="1:20" x14ac:dyDescent="0.25">
      <c r="G69" s="9"/>
      <c r="H69" s="97"/>
      <c r="I69" s="100"/>
      <c r="J69" s="97"/>
      <c r="K69" s="101"/>
      <c r="L69" s="99"/>
      <c r="M69" s="99"/>
      <c r="N69" s="99"/>
      <c r="O69" s="99"/>
      <c r="P69" s="9"/>
      <c r="T69" s="35"/>
    </row>
    <row r="70" spans="1:20" x14ac:dyDescent="0.25">
      <c r="G70" s="9"/>
      <c r="H70" s="97"/>
      <c r="I70" s="100"/>
      <c r="J70" s="97"/>
      <c r="K70" s="101"/>
      <c r="L70" s="99"/>
      <c r="M70" s="99"/>
      <c r="N70" s="99"/>
      <c r="O70" s="99"/>
      <c r="P70" s="9"/>
      <c r="T70" s="35"/>
    </row>
    <row r="71" spans="1:20" x14ac:dyDescent="0.25">
      <c r="G71" s="9"/>
      <c r="H71" s="97"/>
      <c r="I71" s="100"/>
      <c r="J71" s="97"/>
      <c r="K71" s="101"/>
      <c r="L71" s="99"/>
      <c r="M71" s="99"/>
      <c r="N71" s="99"/>
      <c r="O71" s="99"/>
      <c r="P71" s="9"/>
      <c r="T71" s="35"/>
    </row>
    <row r="72" spans="1:20" x14ac:dyDescent="0.25">
      <c r="G72" s="9"/>
      <c r="H72" s="97"/>
      <c r="I72" s="100"/>
      <c r="J72" s="97"/>
      <c r="K72" s="101"/>
      <c r="L72" s="99"/>
      <c r="M72" s="99"/>
      <c r="N72" s="99"/>
      <c r="O72" s="99"/>
      <c r="P72" s="104"/>
      <c r="Q72" s="77"/>
      <c r="R72" s="75"/>
      <c r="S72" s="75"/>
      <c r="T72" s="35"/>
    </row>
    <row r="73" spans="1:20" x14ac:dyDescent="0.25">
      <c r="G73" s="9"/>
      <c r="H73" s="97"/>
      <c r="I73" s="100"/>
      <c r="J73" s="97"/>
      <c r="K73" s="101"/>
      <c r="L73" s="99"/>
      <c r="M73" s="99"/>
      <c r="N73" s="99"/>
      <c r="O73" s="99"/>
      <c r="P73" s="76"/>
      <c r="Q73" s="77"/>
      <c r="R73" s="75"/>
      <c r="S73" s="76"/>
      <c r="T73" s="35"/>
    </row>
    <row r="74" spans="1:20" x14ac:dyDescent="0.25">
      <c r="G74" s="9"/>
      <c r="H74" s="97"/>
      <c r="I74" s="100"/>
      <c r="J74" s="97"/>
      <c r="K74" s="101"/>
      <c r="L74" s="99"/>
      <c r="M74" s="99"/>
      <c r="N74" s="99"/>
      <c r="O74" s="99"/>
      <c r="P74" s="76"/>
      <c r="Q74" s="77"/>
      <c r="R74" s="75"/>
      <c r="S74" s="75"/>
      <c r="T74" s="35"/>
    </row>
    <row r="75" spans="1:20" x14ac:dyDescent="0.25">
      <c r="G75" s="9"/>
      <c r="H75" s="97"/>
      <c r="I75" s="100"/>
      <c r="J75" s="97"/>
      <c r="K75" s="101"/>
      <c r="L75" s="99"/>
      <c r="M75" s="99"/>
      <c r="N75" s="99"/>
      <c r="O75" s="99"/>
      <c r="P75" s="76"/>
      <c r="Q75" s="75"/>
      <c r="R75" s="75"/>
      <c r="S75" s="75"/>
      <c r="T75" s="35"/>
    </row>
    <row r="76" spans="1:20" x14ac:dyDescent="0.25">
      <c r="G76" s="9"/>
      <c r="H76" s="97"/>
      <c r="I76" s="100"/>
      <c r="J76" s="97"/>
      <c r="K76" s="101"/>
      <c r="L76" s="99"/>
      <c r="M76" s="99"/>
      <c r="N76" s="99"/>
      <c r="O76" s="99"/>
      <c r="P76" s="76"/>
      <c r="Q76" s="75"/>
      <c r="R76" s="75"/>
      <c r="S76" s="75"/>
    </row>
    <row r="77" spans="1:20" x14ac:dyDescent="0.25">
      <c r="G77" s="9"/>
      <c r="H77" s="105"/>
      <c r="I77" s="9"/>
      <c r="J77" s="9"/>
      <c r="K77" s="9"/>
      <c r="L77" s="9"/>
      <c r="M77" s="9"/>
      <c r="N77" s="9"/>
      <c r="O77" s="9"/>
      <c r="P77" s="76"/>
      <c r="Q77" s="75"/>
      <c r="R77" s="75"/>
      <c r="S77" s="75"/>
    </row>
    <row r="78" spans="1:20" x14ac:dyDescent="0.25">
      <c r="G78" s="9"/>
      <c r="H78" s="9"/>
      <c r="I78" s="9"/>
      <c r="J78" s="9"/>
      <c r="K78" s="9"/>
      <c r="L78" s="9"/>
      <c r="M78" s="9"/>
      <c r="N78" s="9"/>
      <c r="O78" s="9"/>
      <c r="P78" s="76"/>
      <c r="Q78" s="75"/>
      <c r="R78" s="75"/>
      <c r="S78" s="75"/>
    </row>
    <row r="79" spans="1:20" x14ac:dyDescent="0.25"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20" x14ac:dyDescent="0.25">
      <c r="G80" s="9"/>
    </row>
    <row r="81" spans="7:7" x14ac:dyDescent="0.25">
      <c r="G81" s="9"/>
    </row>
  </sheetData>
  <mergeCells count="20">
    <mergeCell ref="A14:B15"/>
    <mergeCell ref="C14:C15"/>
    <mergeCell ref="A22:C22"/>
    <mergeCell ref="A24:F25"/>
    <mergeCell ref="A23:B23"/>
    <mergeCell ref="S4:S6"/>
    <mergeCell ref="H5:H6"/>
    <mergeCell ref="I5:I6"/>
    <mergeCell ref="P4:R4"/>
    <mergeCell ref="J5:J6"/>
    <mergeCell ref="K5:K6"/>
    <mergeCell ref="L5:L6"/>
    <mergeCell ref="H4:L4"/>
    <mergeCell ref="M5:M6"/>
    <mergeCell ref="N5:N6"/>
    <mergeCell ref="O5:O6"/>
    <mergeCell ref="P5:P6"/>
    <mergeCell ref="Q5:Q6"/>
    <mergeCell ref="R5:R6"/>
    <mergeCell ref="M4:O4"/>
  </mergeCells>
  <pageMargins left="0.35" right="0.2" top="0.75" bottom="0.75" header="0.3" footer="0.3"/>
  <pageSetup paperSize="133"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882B6-94EB-429B-A84B-9D6EDBB53BDF}">
  <sheetPr>
    <pageSetUpPr fitToPage="1"/>
  </sheetPr>
  <dimension ref="A1:Z81"/>
  <sheetViews>
    <sheetView view="pageBreakPreview" zoomScale="55" zoomScaleNormal="55" zoomScaleSheetLayoutView="55" workbookViewId="0">
      <selection activeCell="B30" sqref="B30"/>
    </sheetView>
  </sheetViews>
  <sheetFormatPr defaultRowHeight="15" x14ac:dyDescent="0.25"/>
  <cols>
    <col min="1" max="1" width="13.85546875" style="267" customWidth="1"/>
    <col min="2" max="2" width="14.5703125" style="267" customWidth="1"/>
    <col min="3" max="3" width="14.42578125" style="267" customWidth="1"/>
    <col min="4" max="4" width="11.85546875" style="267" customWidth="1"/>
    <col min="5" max="5" width="14" style="267" customWidth="1"/>
    <col min="6" max="8" width="9.140625" style="267"/>
    <col min="9" max="9" width="28.7109375" style="267" customWidth="1"/>
    <col min="10" max="15" width="14.7109375" style="267" customWidth="1"/>
    <col min="16" max="18" width="14.28515625" style="267" customWidth="1"/>
    <col min="19" max="19" width="19" style="267" customWidth="1"/>
    <col min="20" max="20" width="15" style="267" customWidth="1"/>
    <col min="21" max="21" width="16.140625" style="267" customWidth="1"/>
    <col min="22" max="22" width="16.85546875" style="267" customWidth="1"/>
    <col min="23" max="23" width="15" style="267" customWidth="1"/>
    <col min="24" max="24" width="34.5703125" style="267" customWidth="1"/>
    <col min="25" max="16384" width="9.140625" style="267"/>
  </cols>
  <sheetData>
    <row r="1" spans="1:24" ht="15.75" x14ac:dyDescent="0.25">
      <c r="A1" s="62" t="s">
        <v>320</v>
      </c>
    </row>
    <row r="2" spans="1:24" ht="15.75" x14ac:dyDescent="0.25">
      <c r="A2" s="62" t="s">
        <v>8</v>
      </c>
      <c r="B2" s="35"/>
      <c r="C2" s="35"/>
      <c r="D2" s="35"/>
      <c r="E2" s="35"/>
      <c r="F2" s="3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4" ht="15.75" thickBot="1" x14ac:dyDescent="0.3">
      <c r="A3" s="37"/>
      <c r="B3" s="37"/>
      <c r="C3" s="201"/>
      <c r="D3" s="202"/>
      <c r="E3" s="202"/>
      <c r="F3" s="3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4" ht="15.75" thickBot="1" x14ac:dyDescent="0.3">
      <c r="A4" s="63" t="s">
        <v>5</v>
      </c>
      <c r="B4" s="64" t="s">
        <v>267</v>
      </c>
      <c r="C4" s="65"/>
      <c r="D4" s="37"/>
      <c r="E4" s="35"/>
      <c r="F4" s="35"/>
      <c r="H4" s="552" t="s">
        <v>118</v>
      </c>
      <c r="I4" s="553"/>
      <c r="J4" s="553"/>
      <c r="K4" s="553"/>
      <c r="L4" s="554"/>
      <c r="M4" s="552" t="s">
        <v>119</v>
      </c>
      <c r="N4" s="553"/>
      <c r="O4" s="554"/>
      <c r="P4" s="552" t="s">
        <v>120</v>
      </c>
      <c r="Q4" s="553"/>
      <c r="R4" s="554"/>
      <c r="S4" s="560" t="s">
        <v>268</v>
      </c>
      <c r="T4" s="75"/>
    </row>
    <row r="5" spans="1:24" ht="17.25" x14ac:dyDescent="0.25">
      <c r="A5" s="66" t="s">
        <v>191</v>
      </c>
      <c r="B5" s="67">
        <v>4400</v>
      </c>
      <c r="C5" s="68"/>
      <c r="D5" s="37"/>
      <c r="E5" s="35"/>
      <c r="F5" s="35"/>
      <c r="H5" s="563" t="s">
        <v>4</v>
      </c>
      <c r="I5" s="565" t="s">
        <v>117</v>
      </c>
      <c r="J5" s="567" t="s">
        <v>12</v>
      </c>
      <c r="K5" s="567" t="s">
        <v>13</v>
      </c>
      <c r="L5" s="555" t="s">
        <v>34</v>
      </c>
      <c r="M5" s="569" t="s">
        <v>12</v>
      </c>
      <c r="N5" s="571" t="s">
        <v>13</v>
      </c>
      <c r="O5" s="573" t="s">
        <v>34</v>
      </c>
      <c r="P5" s="563" t="s">
        <v>12</v>
      </c>
      <c r="Q5" s="567" t="s">
        <v>13</v>
      </c>
      <c r="R5" s="555" t="s">
        <v>14</v>
      </c>
      <c r="S5" s="561"/>
      <c r="T5" s="75"/>
    </row>
    <row r="6" spans="1:24" ht="18" thickBot="1" x14ac:dyDescent="0.3">
      <c r="A6" s="69" t="s">
        <v>192</v>
      </c>
      <c r="B6" s="70">
        <v>451200</v>
      </c>
      <c r="C6" s="68"/>
      <c r="D6" s="37"/>
      <c r="E6" s="35"/>
      <c r="F6" s="35"/>
      <c r="H6" s="564"/>
      <c r="I6" s="566"/>
      <c r="J6" s="568"/>
      <c r="K6" s="568"/>
      <c r="L6" s="556"/>
      <c r="M6" s="570"/>
      <c r="N6" s="572"/>
      <c r="O6" s="574"/>
      <c r="P6" s="564"/>
      <c r="Q6" s="568"/>
      <c r="R6" s="556"/>
      <c r="S6" s="562"/>
      <c r="T6" s="75"/>
      <c r="W6" s="9"/>
      <c r="X6" s="9"/>
    </row>
    <row r="7" spans="1:24" ht="18" thickBot="1" x14ac:dyDescent="0.3">
      <c r="A7" s="71" t="s">
        <v>193</v>
      </c>
      <c r="B7" s="72">
        <v>9600000</v>
      </c>
      <c r="C7" s="68"/>
      <c r="D7" s="37"/>
      <c r="E7" s="35"/>
      <c r="F7" s="35"/>
      <c r="H7" s="78">
        <v>2017</v>
      </c>
      <c r="I7" s="200">
        <v>0</v>
      </c>
      <c r="J7" s="274">
        <f>C17</f>
        <v>0.8</v>
      </c>
      <c r="K7" s="274">
        <f>C18</f>
        <v>0.1</v>
      </c>
      <c r="L7" s="275">
        <v>0</v>
      </c>
      <c r="M7" s="273">
        <f t="shared" ref="M7:O22" si="0">ROUNDUP(J7*$C$23,2)</f>
        <v>0.45</v>
      </c>
      <c r="N7" s="274">
        <f t="shared" si="0"/>
        <v>6.0000000000000005E-2</v>
      </c>
      <c r="O7" s="275">
        <f t="shared" si="0"/>
        <v>0</v>
      </c>
      <c r="P7" s="78"/>
      <c r="Q7" s="382"/>
      <c r="R7" s="383"/>
      <c r="S7" s="384">
        <f t="shared" ref="S7:S47" si="1">((P7*$B$5)+(Q7*$B$6)+(R7*$B$7))</f>
        <v>0</v>
      </c>
      <c r="T7" s="75"/>
      <c r="X7" s="9"/>
    </row>
    <row r="8" spans="1:24" x14ac:dyDescent="0.25">
      <c r="A8" s="37"/>
      <c r="B8" s="68"/>
      <c r="C8" s="68"/>
      <c r="D8" s="37"/>
      <c r="E8" s="35"/>
      <c r="F8" s="35"/>
      <c r="H8" s="79">
        <f>H7+1</f>
        <v>2018</v>
      </c>
      <c r="I8" s="86">
        <f t="shared" ref="I8:I47" si="2">((1+$C$42)^(H8-$H$7))-1</f>
        <v>7.5000000000000622E-3</v>
      </c>
      <c r="J8" s="277">
        <f>ROUNDUP($J$7*(1+I8),2)</f>
        <v>0.81</v>
      </c>
      <c r="K8" s="277">
        <f>ROUNDUP($K$7*(1+I8),2)</f>
        <v>0.11</v>
      </c>
      <c r="L8" s="278">
        <f>ROUNDUP($L$7*(1+I8),2)</f>
        <v>0</v>
      </c>
      <c r="M8" s="276">
        <f t="shared" si="0"/>
        <v>0.46</v>
      </c>
      <c r="N8" s="277">
        <f t="shared" si="0"/>
        <v>6.9999999999999993E-2</v>
      </c>
      <c r="O8" s="278">
        <f t="shared" si="0"/>
        <v>0</v>
      </c>
      <c r="P8" s="79"/>
      <c r="Q8" s="85"/>
      <c r="R8" s="87"/>
      <c r="S8" s="109">
        <f t="shared" si="1"/>
        <v>0</v>
      </c>
      <c r="T8" s="75"/>
    </row>
    <row r="9" spans="1:24" x14ac:dyDescent="0.25">
      <c r="A9" s="73" t="s">
        <v>196</v>
      </c>
      <c r="B9" s="73"/>
      <c r="C9" s="35"/>
      <c r="D9" s="35"/>
      <c r="E9" s="35"/>
      <c r="F9" s="35"/>
      <c r="H9" s="79">
        <f t="shared" ref="H9:H47" si="3">H8+1</f>
        <v>2019</v>
      </c>
      <c r="I9" s="86">
        <f t="shared" si="2"/>
        <v>1.5056250000000215E-2</v>
      </c>
      <c r="J9" s="277">
        <f t="shared" ref="J9:J47" si="4">ROUNDUP($J$7*(1+I9),2)</f>
        <v>0.82000000000000006</v>
      </c>
      <c r="K9" s="277">
        <f t="shared" ref="K9:K47" si="5">ROUNDUP($K$7*(1+I9),2)</f>
        <v>0.11</v>
      </c>
      <c r="L9" s="278">
        <f t="shared" ref="L9:L47" si="6">ROUNDUP($L$7*(1+I9),2)</f>
        <v>0</v>
      </c>
      <c r="M9" s="276">
        <f t="shared" si="0"/>
        <v>0.46</v>
      </c>
      <c r="N9" s="277">
        <f t="shared" si="0"/>
        <v>6.9999999999999993E-2</v>
      </c>
      <c r="O9" s="278">
        <f t="shared" si="0"/>
        <v>0</v>
      </c>
      <c r="P9" s="79"/>
      <c r="Q9" s="85"/>
      <c r="R9" s="87"/>
      <c r="S9" s="109">
        <f t="shared" si="1"/>
        <v>0</v>
      </c>
      <c r="T9" s="75"/>
    </row>
    <row r="10" spans="1:24" x14ac:dyDescent="0.25">
      <c r="A10" s="299" t="s">
        <v>36</v>
      </c>
      <c r="B10" s="73" t="s">
        <v>195</v>
      </c>
      <c r="C10" s="35"/>
      <c r="D10" s="35"/>
      <c r="E10" s="35"/>
      <c r="F10" s="35"/>
      <c r="H10" s="79">
        <f t="shared" si="3"/>
        <v>2020</v>
      </c>
      <c r="I10" s="86">
        <f t="shared" si="2"/>
        <v>2.2669171875000282E-2</v>
      </c>
      <c r="J10" s="277">
        <f t="shared" si="4"/>
        <v>0.82000000000000006</v>
      </c>
      <c r="K10" s="277">
        <f t="shared" si="5"/>
        <v>0.11</v>
      </c>
      <c r="L10" s="278">
        <f t="shared" si="6"/>
        <v>0</v>
      </c>
      <c r="M10" s="276">
        <f t="shared" si="0"/>
        <v>0.46</v>
      </c>
      <c r="N10" s="277">
        <f t="shared" si="0"/>
        <v>6.9999999999999993E-2</v>
      </c>
      <c r="O10" s="278">
        <f t="shared" si="0"/>
        <v>0</v>
      </c>
      <c r="P10" s="79"/>
      <c r="Q10" s="85"/>
      <c r="R10" s="87"/>
      <c r="S10" s="109">
        <f t="shared" si="1"/>
        <v>0</v>
      </c>
      <c r="T10" s="75"/>
    </row>
    <row r="11" spans="1:24" x14ac:dyDescent="0.25">
      <c r="A11" s="299" t="s">
        <v>37</v>
      </c>
      <c r="B11" s="73" t="s">
        <v>197</v>
      </c>
      <c r="C11" s="35"/>
      <c r="D11" s="35"/>
      <c r="E11" s="35"/>
      <c r="F11" s="35"/>
      <c r="H11" s="79">
        <f t="shared" si="3"/>
        <v>2021</v>
      </c>
      <c r="I11" s="86">
        <f t="shared" si="2"/>
        <v>3.0339190664062876E-2</v>
      </c>
      <c r="J11" s="277">
        <f t="shared" si="4"/>
        <v>0.83</v>
      </c>
      <c r="K11" s="277">
        <f t="shared" si="5"/>
        <v>0.11</v>
      </c>
      <c r="L11" s="278">
        <f t="shared" si="6"/>
        <v>0</v>
      </c>
      <c r="M11" s="276">
        <f t="shared" si="0"/>
        <v>0.47000000000000003</v>
      </c>
      <c r="N11" s="277">
        <f t="shared" si="0"/>
        <v>6.9999999999999993E-2</v>
      </c>
      <c r="O11" s="278">
        <f t="shared" si="0"/>
        <v>0</v>
      </c>
      <c r="P11" s="79"/>
      <c r="Q11" s="85"/>
      <c r="R11" s="87"/>
      <c r="S11" s="109">
        <f t="shared" si="1"/>
        <v>0</v>
      </c>
      <c r="T11" s="75"/>
    </row>
    <row r="12" spans="1:24" ht="15" customHeight="1" x14ac:dyDescent="0.25">
      <c r="A12" s="299" t="s">
        <v>38</v>
      </c>
      <c r="B12" s="73" t="s">
        <v>198</v>
      </c>
      <c r="C12" s="35"/>
      <c r="D12" s="35"/>
      <c r="E12" s="35"/>
      <c r="F12" s="35"/>
      <c r="H12" s="79">
        <f t="shared" si="3"/>
        <v>2022</v>
      </c>
      <c r="I12" s="86">
        <f t="shared" si="2"/>
        <v>3.8066734594043306E-2</v>
      </c>
      <c r="J12" s="277">
        <f t="shared" si="4"/>
        <v>0.84</v>
      </c>
      <c r="K12" s="277">
        <f t="shared" si="5"/>
        <v>0.11</v>
      </c>
      <c r="L12" s="278">
        <f t="shared" si="6"/>
        <v>0</v>
      </c>
      <c r="M12" s="276">
        <f t="shared" si="0"/>
        <v>0.48</v>
      </c>
      <c r="N12" s="277">
        <f t="shared" si="0"/>
        <v>6.9999999999999993E-2</v>
      </c>
      <c r="O12" s="278">
        <f t="shared" si="0"/>
        <v>0</v>
      </c>
      <c r="P12" s="79"/>
      <c r="Q12" s="85"/>
      <c r="R12" s="87"/>
      <c r="S12" s="109">
        <f t="shared" si="1"/>
        <v>0</v>
      </c>
      <c r="T12" s="75"/>
    </row>
    <row r="13" spans="1:24" ht="15.75" thickBot="1" x14ac:dyDescent="0.3">
      <c r="A13" s="35"/>
      <c r="B13" s="35"/>
      <c r="C13" s="35"/>
      <c r="D13" s="35"/>
      <c r="E13" s="35"/>
      <c r="F13" s="35"/>
      <c r="H13" s="79">
        <f t="shared" si="3"/>
        <v>2023</v>
      </c>
      <c r="I13" s="86">
        <f t="shared" si="2"/>
        <v>4.5852235103498895E-2</v>
      </c>
      <c r="J13" s="277">
        <f t="shared" si="4"/>
        <v>0.84</v>
      </c>
      <c r="K13" s="277">
        <f t="shared" si="5"/>
        <v>0.11</v>
      </c>
      <c r="L13" s="278">
        <f t="shared" si="6"/>
        <v>0</v>
      </c>
      <c r="M13" s="276">
        <f t="shared" si="0"/>
        <v>0.48</v>
      </c>
      <c r="N13" s="277">
        <f t="shared" si="0"/>
        <v>6.9999999999999993E-2</v>
      </c>
      <c r="O13" s="278">
        <f t="shared" si="0"/>
        <v>0</v>
      </c>
      <c r="P13" s="79"/>
      <c r="Q13" s="85"/>
      <c r="R13" s="87"/>
      <c r="S13" s="109">
        <f t="shared" si="1"/>
        <v>0</v>
      </c>
      <c r="T13" s="75"/>
    </row>
    <row r="14" spans="1:24" x14ac:dyDescent="0.25">
      <c r="A14" s="577" t="s">
        <v>199</v>
      </c>
      <c r="B14" s="577"/>
      <c r="C14" s="577" t="s">
        <v>11</v>
      </c>
      <c r="D14" s="35"/>
      <c r="E14" s="35"/>
      <c r="F14" s="35"/>
      <c r="H14" s="79">
        <f t="shared" si="3"/>
        <v>2024</v>
      </c>
      <c r="I14" s="86">
        <f t="shared" si="2"/>
        <v>5.3696126866775273E-2</v>
      </c>
      <c r="J14" s="277">
        <f t="shared" si="4"/>
        <v>0.85</v>
      </c>
      <c r="K14" s="277">
        <f t="shared" si="5"/>
        <v>0.11</v>
      </c>
      <c r="L14" s="278">
        <f t="shared" si="6"/>
        <v>0</v>
      </c>
      <c r="M14" s="276">
        <f t="shared" si="0"/>
        <v>0.48</v>
      </c>
      <c r="N14" s="277">
        <f t="shared" si="0"/>
        <v>6.9999999999999993E-2</v>
      </c>
      <c r="O14" s="278">
        <f t="shared" si="0"/>
        <v>0</v>
      </c>
      <c r="P14" s="79"/>
      <c r="Q14" s="85"/>
      <c r="R14" s="87"/>
      <c r="S14" s="109">
        <f t="shared" si="1"/>
        <v>0</v>
      </c>
      <c r="T14" s="75"/>
    </row>
    <row r="15" spans="1:24" ht="15.75" thickBot="1" x14ac:dyDescent="0.3">
      <c r="A15" s="578"/>
      <c r="B15" s="578"/>
      <c r="C15" s="578"/>
      <c r="D15" s="35"/>
      <c r="E15" s="35"/>
      <c r="F15" s="35"/>
      <c r="H15" s="79">
        <f t="shared" si="3"/>
        <v>2025</v>
      </c>
      <c r="I15" s="86">
        <f t="shared" si="2"/>
        <v>6.159884781827607E-2</v>
      </c>
      <c r="J15" s="277">
        <f t="shared" si="4"/>
        <v>0.85</v>
      </c>
      <c r="K15" s="277">
        <f t="shared" si="5"/>
        <v>0.11</v>
      </c>
      <c r="L15" s="278">
        <f t="shared" si="6"/>
        <v>0</v>
      </c>
      <c r="M15" s="276">
        <f t="shared" si="0"/>
        <v>0.48</v>
      </c>
      <c r="N15" s="277">
        <f t="shared" si="0"/>
        <v>6.9999999999999993E-2</v>
      </c>
      <c r="O15" s="278">
        <f t="shared" si="0"/>
        <v>0</v>
      </c>
      <c r="P15" s="79"/>
      <c r="Q15" s="85"/>
      <c r="R15" s="87"/>
      <c r="S15" s="109">
        <f t="shared" si="1"/>
        <v>0</v>
      </c>
      <c r="T15" s="75"/>
    </row>
    <row r="16" spans="1:24" x14ac:dyDescent="0.25">
      <c r="A16" s="66" t="s">
        <v>31</v>
      </c>
      <c r="B16" s="66">
        <v>9</v>
      </c>
      <c r="C16" s="82">
        <f>B16/10</f>
        <v>0.9</v>
      </c>
      <c r="D16" s="35"/>
      <c r="E16" s="35"/>
      <c r="F16" s="35"/>
      <c r="H16" s="79">
        <f t="shared" si="3"/>
        <v>2026</v>
      </c>
      <c r="I16" s="86">
        <f t="shared" si="2"/>
        <v>6.9560839176913136E-2</v>
      </c>
      <c r="J16" s="277">
        <f t="shared" si="4"/>
        <v>0.86</v>
      </c>
      <c r="K16" s="277">
        <f t="shared" si="5"/>
        <v>0.11</v>
      </c>
      <c r="L16" s="278">
        <f t="shared" si="6"/>
        <v>0</v>
      </c>
      <c r="M16" s="276">
        <f t="shared" si="0"/>
        <v>0.49</v>
      </c>
      <c r="N16" s="277">
        <f t="shared" si="0"/>
        <v>6.9999999999999993E-2</v>
      </c>
      <c r="O16" s="278">
        <f t="shared" si="0"/>
        <v>0</v>
      </c>
      <c r="P16" s="79"/>
      <c r="Q16" s="85"/>
      <c r="R16" s="87"/>
      <c r="S16" s="109">
        <f t="shared" si="1"/>
        <v>0</v>
      </c>
      <c r="T16" s="75"/>
    </row>
    <row r="17" spans="1:20" x14ac:dyDescent="0.25">
      <c r="A17" s="69" t="s">
        <v>6</v>
      </c>
      <c r="B17" s="69">
        <v>8</v>
      </c>
      <c r="C17" s="83">
        <f>B17/10</f>
        <v>0.8</v>
      </c>
      <c r="D17" s="35"/>
      <c r="E17" s="35"/>
      <c r="F17" s="35"/>
      <c r="H17" s="79">
        <f t="shared" si="3"/>
        <v>2027</v>
      </c>
      <c r="I17" s="86">
        <f t="shared" si="2"/>
        <v>7.7582545470740172E-2</v>
      </c>
      <c r="J17" s="277">
        <f t="shared" si="4"/>
        <v>0.87</v>
      </c>
      <c r="K17" s="277">
        <f t="shared" si="5"/>
        <v>0.11</v>
      </c>
      <c r="L17" s="278">
        <f t="shared" si="6"/>
        <v>0</v>
      </c>
      <c r="M17" s="276">
        <f t="shared" si="0"/>
        <v>0.49</v>
      </c>
      <c r="N17" s="277">
        <f t="shared" si="0"/>
        <v>6.9999999999999993E-2</v>
      </c>
      <c r="O17" s="278">
        <f t="shared" si="0"/>
        <v>0</v>
      </c>
      <c r="P17" s="276">
        <f t="shared" ref="P17:R22" si="7">ABS(J17-M17)</f>
        <v>0.38</v>
      </c>
      <c r="Q17" s="279">
        <f t="shared" si="7"/>
        <v>4.0000000000000008E-2</v>
      </c>
      <c r="R17" s="278">
        <f t="shared" si="7"/>
        <v>0</v>
      </c>
      <c r="S17" s="109">
        <f t="shared" si="1"/>
        <v>19720.000000000004</v>
      </c>
      <c r="T17" s="75"/>
    </row>
    <row r="18" spans="1:20" x14ac:dyDescent="0.25">
      <c r="A18" s="69" t="s">
        <v>7</v>
      </c>
      <c r="B18" s="69">
        <v>1</v>
      </c>
      <c r="C18" s="83">
        <f>B18/10</f>
        <v>0.1</v>
      </c>
      <c r="D18" s="42"/>
      <c r="E18" s="35"/>
      <c r="F18" s="35"/>
      <c r="H18" s="79">
        <f t="shared" si="3"/>
        <v>2028</v>
      </c>
      <c r="I18" s="86">
        <f t="shared" si="2"/>
        <v>8.5664414561770874E-2</v>
      </c>
      <c r="J18" s="277">
        <f t="shared" si="4"/>
        <v>0.87</v>
      </c>
      <c r="K18" s="277">
        <f t="shared" si="5"/>
        <v>0.11</v>
      </c>
      <c r="L18" s="278">
        <f t="shared" si="6"/>
        <v>0</v>
      </c>
      <c r="M18" s="276">
        <f t="shared" si="0"/>
        <v>0.49</v>
      </c>
      <c r="N18" s="277">
        <f t="shared" si="0"/>
        <v>6.9999999999999993E-2</v>
      </c>
      <c r="O18" s="278">
        <f t="shared" si="0"/>
        <v>0</v>
      </c>
      <c r="P18" s="276">
        <f t="shared" si="7"/>
        <v>0.38</v>
      </c>
      <c r="Q18" s="279">
        <f t="shared" si="7"/>
        <v>4.0000000000000008E-2</v>
      </c>
      <c r="R18" s="278">
        <f t="shared" si="7"/>
        <v>0</v>
      </c>
      <c r="S18" s="109">
        <f t="shared" si="1"/>
        <v>19720.000000000004</v>
      </c>
      <c r="T18" s="75"/>
    </row>
    <row r="19" spans="1:20" ht="15.75" thickBot="1" x14ac:dyDescent="0.3">
      <c r="A19" s="71" t="s">
        <v>9</v>
      </c>
      <c r="B19" s="71">
        <v>0</v>
      </c>
      <c r="C19" s="84">
        <f>B19/10</f>
        <v>0</v>
      </c>
      <c r="D19" s="42"/>
      <c r="E19" s="35"/>
      <c r="F19" s="35"/>
      <c r="H19" s="79">
        <f t="shared" si="3"/>
        <v>2029</v>
      </c>
      <c r="I19" s="86">
        <f t="shared" si="2"/>
        <v>9.3806897670984268E-2</v>
      </c>
      <c r="J19" s="277">
        <f t="shared" si="4"/>
        <v>0.88</v>
      </c>
      <c r="K19" s="277">
        <f t="shared" si="5"/>
        <v>0.11</v>
      </c>
      <c r="L19" s="278">
        <f t="shared" si="6"/>
        <v>0</v>
      </c>
      <c r="M19" s="276">
        <f t="shared" si="0"/>
        <v>0.5</v>
      </c>
      <c r="N19" s="277">
        <f t="shared" si="0"/>
        <v>6.9999999999999993E-2</v>
      </c>
      <c r="O19" s="278">
        <f t="shared" si="0"/>
        <v>0</v>
      </c>
      <c r="P19" s="276">
        <f t="shared" si="7"/>
        <v>0.38</v>
      </c>
      <c r="Q19" s="279">
        <f t="shared" si="7"/>
        <v>4.0000000000000008E-2</v>
      </c>
      <c r="R19" s="278">
        <f t="shared" si="7"/>
        <v>0</v>
      </c>
      <c r="S19" s="109">
        <f t="shared" si="1"/>
        <v>19720.000000000004</v>
      </c>
      <c r="T19" s="75"/>
    </row>
    <row r="20" spans="1:20" x14ac:dyDescent="0.25">
      <c r="A20" s="299" t="s">
        <v>200</v>
      </c>
      <c r="B20" s="426" t="s">
        <v>33</v>
      </c>
      <c r="C20" s="426"/>
      <c r="D20" s="42"/>
      <c r="E20" s="35"/>
      <c r="F20" s="35"/>
      <c r="H20" s="79">
        <f t="shared" si="3"/>
        <v>2030</v>
      </c>
      <c r="I20" s="86">
        <f t="shared" si="2"/>
        <v>0.10201044940351656</v>
      </c>
      <c r="J20" s="277">
        <f t="shared" si="4"/>
        <v>0.89</v>
      </c>
      <c r="K20" s="277">
        <f t="shared" si="5"/>
        <v>0.12</v>
      </c>
      <c r="L20" s="278">
        <f t="shared" si="6"/>
        <v>0</v>
      </c>
      <c r="M20" s="276">
        <f t="shared" si="0"/>
        <v>0.5</v>
      </c>
      <c r="N20" s="277">
        <f t="shared" si="0"/>
        <v>6.9999999999999993E-2</v>
      </c>
      <c r="O20" s="278">
        <f t="shared" si="0"/>
        <v>0</v>
      </c>
      <c r="P20" s="276">
        <f t="shared" si="7"/>
        <v>0.39</v>
      </c>
      <c r="Q20" s="279">
        <f t="shared" si="7"/>
        <v>0.05</v>
      </c>
      <c r="R20" s="278">
        <f t="shared" si="7"/>
        <v>0</v>
      </c>
      <c r="S20" s="109">
        <f t="shared" si="1"/>
        <v>24276</v>
      </c>
      <c r="T20" s="75"/>
    </row>
    <row r="21" spans="1:20" ht="15.75" thickBot="1" x14ac:dyDescent="0.3">
      <c r="A21" s="42"/>
      <c r="B21" s="42"/>
      <c r="C21" s="42"/>
      <c r="D21" s="42"/>
      <c r="E21" s="35"/>
      <c r="F21" s="35"/>
      <c r="H21" s="79">
        <f t="shared" si="3"/>
        <v>2031</v>
      </c>
      <c r="I21" s="86">
        <f t="shared" si="2"/>
        <v>0.11027552777404326</v>
      </c>
      <c r="J21" s="277">
        <f t="shared" si="4"/>
        <v>0.89</v>
      </c>
      <c r="K21" s="277">
        <f t="shared" si="5"/>
        <v>0.12</v>
      </c>
      <c r="L21" s="278">
        <f t="shared" si="6"/>
        <v>0</v>
      </c>
      <c r="M21" s="276">
        <f t="shared" si="0"/>
        <v>0.5</v>
      </c>
      <c r="N21" s="277">
        <f t="shared" si="0"/>
        <v>6.9999999999999993E-2</v>
      </c>
      <c r="O21" s="278">
        <f t="shared" si="0"/>
        <v>0</v>
      </c>
      <c r="P21" s="276">
        <f t="shared" si="7"/>
        <v>0.39</v>
      </c>
      <c r="Q21" s="279">
        <f t="shared" si="7"/>
        <v>0.05</v>
      </c>
      <c r="R21" s="278">
        <f t="shared" si="7"/>
        <v>0</v>
      </c>
      <c r="S21" s="109">
        <f t="shared" si="1"/>
        <v>24276</v>
      </c>
      <c r="T21" s="75"/>
    </row>
    <row r="22" spans="1:20" ht="18" thickBot="1" x14ac:dyDescent="0.3">
      <c r="A22" s="549" t="s">
        <v>201</v>
      </c>
      <c r="B22" s="550"/>
      <c r="C22" s="557"/>
      <c r="D22" s="35"/>
      <c r="E22" s="35"/>
      <c r="F22" s="35"/>
      <c r="H22" s="79">
        <f t="shared" si="3"/>
        <v>2032</v>
      </c>
      <c r="I22" s="86">
        <f t="shared" si="2"/>
        <v>0.11860259423234876</v>
      </c>
      <c r="J22" s="277">
        <f t="shared" si="4"/>
        <v>0.9</v>
      </c>
      <c r="K22" s="277">
        <f t="shared" si="5"/>
        <v>0.12</v>
      </c>
      <c r="L22" s="278">
        <f t="shared" si="6"/>
        <v>0</v>
      </c>
      <c r="M22" s="276">
        <f t="shared" si="0"/>
        <v>0.51</v>
      </c>
      <c r="N22" s="277">
        <f t="shared" si="0"/>
        <v>6.9999999999999993E-2</v>
      </c>
      <c r="O22" s="278">
        <f t="shared" si="0"/>
        <v>0</v>
      </c>
      <c r="P22" s="276">
        <f t="shared" si="7"/>
        <v>0.39</v>
      </c>
      <c r="Q22" s="279">
        <f t="shared" si="7"/>
        <v>0.05</v>
      </c>
      <c r="R22" s="278">
        <f t="shared" si="7"/>
        <v>0</v>
      </c>
      <c r="S22" s="109">
        <f t="shared" si="1"/>
        <v>24276</v>
      </c>
      <c r="T22" s="75"/>
    </row>
    <row r="23" spans="1:20" ht="15.75" thickBot="1" x14ac:dyDescent="0.3">
      <c r="A23" s="549" t="s">
        <v>35</v>
      </c>
      <c r="B23" s="550"/>
      <c r="C23" s="118">
        <v>0.56000000000000005</v>
      </c>
      <c r="D23" s="35"/>
      <c r="E23" s="35"/>
      <c r="F23" s="35"/>
      <c r="H23" s="79">
        <f t="shared" si="3"/>
        <v>2033</v>
      </c>
      <c r="I23" s="86">
        <f t="shared" si="2"/>
        <v>0.12699211368909125</v>
      </c>
      <c r="J23" s="277">
        <f t="shared" si="4"/>
        <v>0.91</v>
      </c>
      <c r="K23" s="277">
        <f t="shared" si="5"/>
        <v>0.12</v>
      </c>
      <c r="L23" s="278">
        <f t="shared" si="6"/>
        <v>0</v>
      </c>
      <c r="M23" s="276">
        <f t="shared" ref="M23:O47" si="8">ROUNDUP(J23*$C$23,2)</f>
        <v>0.51</v>
      </c>
      <c r="N23" s="277">
        <f t="shared" si="8"/>
        <v>6.9999999999999993E-2</v>
      </c>
      <c r="O23" s="278">
        <f t="shared" si="8"/>
        <v>0</v>
      </c>
      <c r="P23" s="276">
        <f>ABS(J23-M23)</f>
        <v>0.4</v>
      </c>
      <c r="Q23" s="279">
        <f>ABS(K23-N23)</f>
        <v>0.05</v>
      </c>
      <c r="R23" s="278">
        <f>ABS(L23-O23)</f>
        <v>0</v>
      </c>
      <c r="S23" s="109">
        <f t="shared" si="1"/>
        <v>24320</v>
      </c>
      <c r="T23" s="75"/>
    </row>
    <row r="24" spans="1:20" ht="15" customHeight="1" x14ac:dyDescent="0.25">
      <c r="A24" s="551"/>
      <c r="B24" s="551"/>
      <c r="C24" s="551"/>
      <c r="D24" s="551"/>
      <c r="E24" s="551"/>
      <c r="F24" s="551"/>
      <c r="H24" s="79">
        <f t="shared" si="3"/>
        <v>2034</v>
      </c>
      <c r="I24" s="86">
        <f t="shared" si="2"/>
        <v>0.13544455454175952</v>
      </c>
      <c r="J24" s="277">
        <f t="shared" si="4"/>
        <v>0.91</v>
      </c>
      <c r="K24" s="277">
        <f t="shared" si="5"/>
        <v>0.12</v>
      </c>
      <c r="L24" s="278">
        <f t="shared" si="6"/>
        <v>0</v>
      </c>
      <c r="M24" s="276">
        <f t="shared" si="8"/>
        <v>0.51</v>
      </c>
      <c r="N24" s="277">
        <f t="shared" si="8"/>
        <v>6.9999999999999993E-2</v>
      </c>
      <c r="O24" s="278">
        <f t="shared" si="8"/>
        <v>0</v>
      </c>
      <c r="P24" s="276">
        <f t="shared" ref="P24:R43" si="9">ABS(J24-M24)</f>
        <v>0.4</v>
      </c>
      <c r="Q24" s="279">
        <f t="shared" si="9"/>
        <v>0.05</v>
      </c>
      <c r="R24" s="278">
        <f t="shared" si="9"/>
        <v>0</v>
      </c>
      <c r="S24" s="109">
        <f t="shared" si="1"/>
        <v>24320</v>
      </c>
      <c r="T24" s="75"/>
    </row>
    <row r="25" spans="1:20" x14ac:dyDescent="0.25">
      <c r="A25" s="551"/>
      <c r="B25" s="551"/>
      <c r="C25" s="551"/>
      <c r="D25" s="551"/>
      <c r="E25" s="551"/>
      <c r="F25" s="551"/>
      <c r="H25" s="79">
        <f t="shared" si="3"/>
        <v>2035</v>
      </c>
      <c r="I25" s="86">
        <f t="shared" si="2"/>
        <v>0.14396038870082295</v>
      </c>
      <c r="J25" s="277">
        <f t="shared" si="4"/>
        <v>0.92</v>
      </c>
      <c r="K25" s="277">
        <f t="shared" si="5"/>
        <v>0.12</v>
      </c>
      <c r="L25" s="278">
        <f t="shared" si="6"/>
        <v>0</v>
      </c>
      <c r="M25" s="276">
        <f t="shared" si="8"/>
        <v>0.52</v>
      </c>
      <c r="N25" s="277">
        <f t="shared" si="8"/>
        <v>6.9999999999999993E-2</v>
      </c>
      <c r="O25" s="278">
        <f t="shared" si="8"/>
        <v>0</v>
      </c>
      <c r="P25" s="276">
        <f t="shared" si="9"/>
        <v>0.4</v>
      </c>
      <c r="Q25" s="279">
        <f t="shared" si="9"/>
        <v>0.05</v>
      </c>
      <c r="R25" s="278">
        <f t="shared" si="9"/>
        <v>0</v>
      </c>
      <c r="S25" s="109">
        <f t="shared" si="1"/>
        <v>24320</v>
      </c>
      <c r="T25" s="75"/>
    </row>
    <row r="26" spans="1:20" x14ac:dyDescent="0.25">
      <c r="A26" s="551" t="s">
        <v>203</v>
      </c>
      <c r="B26" s="551"/>
      <c r="C26" s="551"/>
      <c r="D26" s="551"/>
      <c r="E26" s="551"/>
      <c r="F26" s="551"/>
      <c r="H26" s="79">
        <f t="shared" si="3"/>
        <v>2036</v>
      </c>
      <c r="I26" s="86">
        <f t="shared" si="2"/>
        <v>0.15254009161607907</v>
      </c>
      <c r="J26" s="277">
        <f t="shared" si="4"/>
        <v>0.93</v>
      </c>
      <c r="K26" s="277">
        <f t="shared" si="5"/>
        <v>0.12</v>
      </c>
      <c r="L26" s="278">
        <f t="shared" si="6"/>
        <v>0</v>
      </c>
      <c r="M26" s="276">
        <f t="shared" si="8"/>
        <v>0.53</v>
      </c>
      <c r="N26" s="277">
        <f t="shared" si="8"/>
        <v>6.9999999999999993E-2</v>
      </c>
      <c r="O26" s="278">
        <f t="shared" si="8"/>
        <v>0</v>
      </c>
      <c r="P26" s="276">
        <f t="shared" si="9"/>
        <v>0.4</v>
      </c>
      <c r="Q26" s="279">
        <f t="shared" si="9"/>
        <v>0.05</v>
      </c>
      <c r="R26" s="278">
        <f t="shared" si="9"/>
        <v>0</v>
      </c>
      <c r="S26" s="109">
        <f t="shared" si="1"/>
        <v>24320</v>
      </c>
      <c r="T26" s="75"/>
    </row>
    <row r="27" spans="1:20" x14ac:dyDescent="0.25">
      <c r="E27" s="35"/>
      <c r="F27" s="35"/>
      <c r="H27" s="79">
        <f t="shared" si="3"/>
        <v>2037</v>
      </c>
      <c r="I27" s="86">
        <f t="shared" si="2"/>
        <v>0.16118414230319988</v>
      </c>
      <c r="J27" s="277">
        <f t="shared" si="4"/>
        <v>0.93</v>
      </c>
      <c r="K27" s="277">
        <f t="shared" si="5"/>
        <v>0.12</v>
      </c>
      <c r="L27" s="278">
        <f t="shared" si="6"/>
        <v>0</v>
      </c>
      <c r="M27" s="276">
        <f t="shared" si="8"/>
        <v>0.53</v>
      </c>
      <c r="N27" s="277">
        <f t="shared" si="8"/>
        <v>6.9999999999999993E-2</v>
      </c>
      <c r="O27" s="278">
        <f t="shared" si="8"/>
        <v>0</v>
      </c>
      <c r="P27" s="276">
        <f t="shared" si="9"/>
        <v>0.4</v>
      </c>
      <c r="Q27" s="279">
        <f t="shared" si="9"/>
        <v>0.05</v>
      </c>
      <c r="R27" s="278">
        <f t="shared" si="9"/>
        <v>0</v>
      </c>
      <c r="S27" s="109">
        <f t="shared" si="1"/>
        <v>24320</v>
      </c>
      <c r="T27" s="75"/>
    </row>
    <row r="28" spans="1:20" x14ac:dyDescent="0.25">
      <c r="D28" s="35"/>
      <c r="E28" s="35"/>
      <c r="F28" s="35"/>
      <c r="H28" s="79">
        <f t="shared" si="3"/>
        <v>2038</v>
      </c>
      <c r="I28" s="86">
        <f t="shared" si="2"/>
        <v>0.16989302337047385</v>
      </c>
      <c r="J28" s="277">
        <f t="shared" si="4"/>
        <v>0.94000000000000006</v>
      </c>
      <c r="K28" s="277">
        <f t="shared" si="5"/>
        <v>0.12</v>
      </c>
      <c r="L28" s="278">
        <f t="shared" si="6"/>
        <v>0</v>
      </c>
      <c r="M28" s="276">
        <f t="shared" si="8"/>
        <v>0.53</v>
      </c>
      <c r="N28" s="277">
        <f t="shared" si="8"/>
        <v>6.9999999999999993E-2</v>
      </c>
      <c r="O28" s="278">
        <f t="shared" si="8"/>
        <v>0</v>
      </c>
      <c r="P28" s="276">
        <f t="shared" si="9"/>
        <v>0.41000000000000003</v>
      </c>
      <c r="Q28" s="279">
        <f t="shared" si="9"/>
        <v>0.05</v>
      </c>
      <c r="R28" s="278">
        <f t="shared" si="9"/>
        <v>0</v>
      </c>
      <c r="S28" s="109">
        <f t="shared" si="1"/>
        <v>24364</v>
      </c>
      <c r="T28" s="75"/>
    </row>
    <row r="29" spans="1:20" x14ac:dyDescent="0.25">
      <c r="D29" s="35"/>
      <c r="E29" s="35"/>
      <c r="F29" s="35"/>
      <c r="H29" s="79">
        <f t="shared" si="3"/>
        <v>2039</v>
      </c>
      <c r="I29" s="86">
        <f t="shared" si="2"/>
        <v>0.17866722104575272</v>
      </c>
      <c r="J29" s="277">
        <f t="shared" si="4"/>
        <v>0.95</v>
      </c>
      <c r="K29" s="277">
        <f t="shared" si="5"/>
        <v>0.12</v>
      </c>
      <c r="L29" s="278">
        <f t="shared" si="6"/>
        <v>0</v>
      </c>
      <c r="M29" s="276">
        <f t="shared" si="8"/>
        <v>0.54</v>
      </c>
      <c r="N29" s="277">
        <f t="shared" si="8"/>
        <v>6.9999999999999993E-2</v>
      </c>
      <c r="O29" s="278">
        <f t="shared" si="8"/>
        <v>0</v>
      </c>
      <c r="P29" s="276">
        <f t="shared" si="9"/>
        <v>0.40999999999999992</v>
      </c>
      <c r="Q29" s="279">
        <f t="shared" si="9"/>
        <v>0.05</v>
      </c>
      <c r="R29" s="278">
        <f t="shared" si="9"/>
        <v>0</v>
      </c>
      <c r="S29" s="109">
        <f t="shared" si="1"/>
        <v>24364</v>
      </c>
      <c r="T29" s="75"/>
    </row>
    <row r="30" spans="1:20" x14ac:dyDescent="0.25">
      <c r="D30" s="35"/>
      <c r="E30" s="35"/>
      <c r="F30" s="35"/>
      <c r="H30" s="79">
        <f t="shared" si="3"/>
        <v>2040</v>
      </c>
      <c r="I30" s="86">
        <f t="shared" si="2"/>
        <v>0.18750722520359586</v>
      </c>
      <c r="J30" s="277">
        <f t="shared" si="4"/>
        <v>0.96</v>
      </c>
      <c r="K30" s="277">
        <f t="shared" si="5"/>
        <v>0.12</v>
      </c>
      <c r="L30" s="278">
        <f t="shared" si="6"/>
        <v>0</v>
      </c>
      <c r="M30" s="276">
        <f t="shared" si="8"/>
        <v>0.54</v>
      </c>
      <c r="N30" s="277">
        <f t="shared" si="8"/>
        <v>6.9999999999999993E-2</v>
      </c>
      <c r="O30" s="278">
        <f t="shared" si="8"/>
        <v>0</v>
      </c>
      <c r="P30" s="276">
        <f t="shared" si="9"/>
        <v>0.41999999999999993</v>
      </c>
      <c r="Q30" s="279">
        <f t="shared" si="9"/>
        <v>0.05</v>
      </c>
      <c r="R30" s="278">
        <f t="shared" si="9"/>
        <v>0</v>
      </c>
      <c r="S30" s="109">
        <f t="shared" si="1"/>
        <v>24408</v>
      </c>
      <c r="T30" s="75"/>
    </row>
    <row r="31" spans="1:20" ht="15" customHeight="1" x14ac:dyDescent="0.25">
      <c r="D31" s="35"/>
      <c r="E31" s="35"/>
      <c r="F31" s="35"/>
      <c r="G31" s="35"/>
      <c r="H31" s="79">
        <f t="shared" si="3"/>
        <v>2041</v>
      </c>
      <c r="I31" s="86">
        <f t="shared" si="2"/>
        <v>0.1964135293926228</v>
      </c>
      <c r="J31" s="277">
        <f t="shared" si="4"/>
        <v>0.96</v>
      </c>
      <c r="K31" s="277">
        <f t="shared" si="5"/>
        <v>0.12</v>
      </c>
      <c r="L31" s="278">
        <f t="shared" si="6"/>
        <v>0</v>
      </c>
      <c r="M31" s="276">
        <f t="shared" si="8"/>
        <v>0.54</v>
      </c>
      <c r="N31" s="277">
        <f t="shared" si="8"/>
        <v>6.9999999999999993E-2</v>
      </c>
      <c r="O31" s="278">
        <f t="shared" si="8"/>
        <v>0</v>
      </c>
      <c r="P31" s="276">
        <f t="shared" si="9"/>
        <v>0.41999999999999993</v>
      </c>
      <c r="Q31" s="279">
        <f t="shared" si="9"/>
        <v>0.05</v>
      </c>
      <c r="R31" s="278">
        <f t="shared" si="9"/>
        <v>0</v>
      </c>
      <c r="S31" s="109">
        <f t="shared" si="1"/>
        <v>24408</v>
      </c>
      <c r="T31" s="75"/>
    </row>
    <row r="32" spans="1:20" x14ac:dyDescent="0.25">
      <c r="F32" s="35"/>
      <c r="G32" s="35"/>
      <c r="H32" s="79">
        <f t="shared" si="3"/>
        <v>2042</v>
      </c>
      <c r="I32" s="86">
        <f t="shared" si="2"/>
        <v>0.20538663086306763</v>
      </c>
      <c r="J32" s="277">
        <f t="shared" si="4"/>
        <v>0.97</v>
      </c>
      <c r="K32" s="277">
        <f t="shared" si="5"/>
        <v>0.13</v>
      </c>
      <c r="L32" s="278">
        <f t="shared" si="6"/>
        <v>0</v>
      </c>
      <c r="M32" s="276">
        <f t="shared" si="8"/>
        <v>0.55000000000000004</v>
      </c>
      <c r="N32" s="277">
        <f t="shared" si="8"/>
        <v>0.08</v>
      </c>
      <c r="O32" s="278">
        <f t="shared" si="8"/>
        <v>0</v>
      </c>
      <c r="P32" s="276">
        <f t="shared" si="9"/>
        <v>0.41999999999999993</v>
      </c>
      <c r="Q32" s="279">
        <f t="shared" si="9"/>
        <v>0.05</v>
      </c>
      <c r="R32" s="278">
        <f t="shared" si="9"/>
        <v>0</v>
      </c>
      <c r="S32" s="109">
        <f t="shared" si="1"/>
        <v>24408</v>
      </c>
      <c r="T32" s="75"/>
    </row>
    <row r="33" spans="1:26" x14ac:dyDescent="0.25">
      <c r="F33" s="35"/>
      <c r="G33" s="35"/>
      <c r="H33" s="79">
        <f t="shared" si="3"/>
        <v>2043</v>
      </c>
      <c r="I33" s="86">
        <f t="shared" si="2"/>
        <v>0.21442703059454082</v>
      </c>
      <c r="J33" s="277">
        <f t="shared" si="4"/>
        <v>0.98</v>
      </c>
      <c r="K33" s="277">
        <f t="shared" si="5"/>
        <v>0.13</v>
      </c>
      <c r="L33" s="278">
        <f t="shared" si="6"/>
        <v>0</v>
      </c>
      <c r="M33" s="276">
        <f t="shared" si="8"/>
        <v>0.55000000000000004</v>
      </c>
      <c r="N33" s="277">
        <f t="shared" si="8"/>
        <v>0.08</v>
      </c>
      <c r="O33" s="278">
        <f t="shared" si="8"/>
        <v>0</v>
      </c>
      <c r="P33" s="276">
        <f t="shared" si="9"/>
        <v>0.42999999999999994</v>
      </c>
      <c r="Q33" s="279">
        <f t="shared" si="9"/>
        <v>0.05</v>
      </c>
      <c r="R33" s="278">
        <f t="shared" si="9"/>
        <v>0</v>
      </c>
      <c r="S33" s="109">
        <f t="shared" si="1"/>
        <v>24452</v>
      </c>
      <c r="T33" s="75"/>
    </row>
    <row r="34" spans="1:26" x14ac:dyDescent="0.25">
      <c r="F34" s="35"/>
      <c r="G34" s="35"/>
      <c r="H34" s="79">
        <f t="shared" si="3"/>
        <v>2044</v>
      </c>
      <c r="I34" s="86">
        <f t="shared" si="2"/>
        <v>0.22353523332399994</v>
      </c>
      <c r="J34" s="277">
        <f t="shared" si="4"/>
        <v>0.98</v>
      </c>
      <c r="K34" s="277">
        <f t="shared" si="5"/>
        <v>0.13</v>
      </c>
      <c r="L34" s="278">
        <f t="shared" si="6"/>
        <v>0</v>
      </c>
      <c r="M34" s="276">
        <f t="shared" si="8"/>
        <v>0.55000000000000004</v>
      </c>
      <c r="N34" s="277">
        <f t="shared" si="8"/>
        <v>0.08</v>
      </c>
      <c r="O34" s="278">
        <f t="shared" si="8"/>
        <v>0</v>
      </c>
      <c r="P34" s="276">
        <f t="shared" si="9"/>
        <v>0.42999999999999994</v>
      </c>
      <c r="Q34" s="279">
        <f t="shared" si="9"/>
        <v>0.05</v>
      </c>
      <c r="R34" s="278">
        <f t="shared" si="9"/>
        <v>0</v>
      </c>
      <c r="S34" s="109">
        <f t="shared" si="1"/>
        <v>24452</v>
      </c>
      <c r="T34" s="75"/>
    </row>
    <row r="35" spans="1:26" x14ac:dyDescent="0.25">
      <c r="F35" s="35"/>
      <c r="G35" s="35"/>
      <c r="H35" s="79">
        <f t="shared" si="3"/>
        <v>2045</v>
      </c>
      <c r="I35" s="86">
        <f t="shared" si="2"/>
        <v>0.23271174757393021</v>
      </c>
      <c r="J35" s="277">
        <f t="shared" si="4"/>
        <v>0.99</v>
      </c>
      <c r="K35" s="277">
        <f t="shared" si="5"/>
        <v>0.13</v>
      </c>
      <c r="L35" s="278">
        <f t="shared" si="6"/>
        <v>0</v>
      </c>
      <c r="M35" s="276">
        <f t="shared" si="8"/>
        <v>0.56000000000000005</v>
      </c>
      <c r="N35" s="277">
        <f t="shared" si="8"/>
        <v>0.08</v>
      </c>
      <c r="O35" s="278">
        <f t="shared" si="8"/>
        <v>0</v>
      </c>
      <c r="P35" s="276">
        <f t="shared" si="9"/>
        <v>0.42999999999999994</v>
      </c>
      <c r="Q35" s="279">
        <f t="shared" si="9"/>
        <v>0.05</v>
      </c>
      <c r="R35" s="278">
        <f t="shared" si="9"/>
        <v>0</v>
      </c>
      <c r="S35" s="109">
        <f t="shared" si="1"/>
        <v>24452</v>
      </c>
      <c r="T35" s="75"/>
    </row>
    <row r="36" spans="1:26" ht="15" customHeight="1" x14ac:dyDescent="0.25">
      <c r="F36" s="35"/>
      <c r="G36" s="35"/>
      <c r="H36" s="79">
        <f t="shared" si="3"/>
        <v>2046</v>
      </c>
      <c r="I36" s="86">
        <f t="shared" si="2"/>
        <v>0.24195708568073448</v>
      </c>
      <c r="J36" s="277">
        <f t="shared" si="4"/>
        <v>1</v>
      </c>
      <c r="K36" s="277">
        <f t="shared" si="5"/>
        <v>0.13</v>
      </c>
      <c r="L36" s="278">
        <f t="shared" si="6"/>
        <v>0</v>
      </c>
      <c r="M36" s="276">
        <f t="shared" si="8"/>
        <v>0.56000000000000005</v>
      </c>
      <c r="N36" s="277">
        <f t="shared" si="8"/>
        <v>0.08</v>
      </c>
      <c r="O36" s="278">
        <f t="shared" si="8"/>
        <v>0</v>
      </c>
      <c r="P36" s="276">
        <f t="shared" si="9"/>
        <v>0.43999999999999995</v>
      </c>
      <c r="Q36" s="279">
        <f t="shared" si="9"/>
        <v>0.05</v>
      </c>
      <c r="R36" s="278">
        <f t="shared" si="9"/>
        <v>0</v>
      </c>
      <c r="S36" s="109">
        <f t="shared" si="1"/>
        <v>24496</v>
      </c>
      <c r="T36" s="75"/>
    </row>
    <row r="37" spans="1:26" x14ac:dyDescent="0.25">
      <c r="F37" s="35"/>
      <c r="G37" s="35"/>
      <c r="H37" s="79">
        <f t="shared" si="3"/>
        <v>2047</v>
      </c>
      <c r="I37" s="86">
        <f t="shared" si="2"/>
        <v>0.25127176382334038</v>
      </c>
      <c r="J37" s="277">
        <f t="shared" si="4"/>
        <v>1.01</v>
      </c>
      <c r="K37" s="277">
        <f t="shared" si="5"/>
        <v>0.13</v>
      </c>
      <c r="L37" s="278">
        <f t="shared" si="6"/>
        <v>0</v>
      </c>
      <c r="M37" s="276">
        <f t="shared" si="8"/>
        <v>0.57000000000000006</v>
      </c>
      <c r="N37" s="277">
        <f t="shared" si="8"/>
        <v>0.08</v>
      </c>
      <c r="O37" s="278">
        <f t="shared" si="8"/>
        <v>0</v>
      </c>
      <c r="P37" s="276">
        <f t="shared" si="9"/>
        <v>0.43999999999999995</v>
      </c>
      <c r="Q37" s="279">
        <f t="shared" si="9"/>
        <v>0.05</v>
      </c>
      <c r="R37" s="278">
        <f t="shared" si="9"/>
        <v>0</v>
      </c>
      <c r="S37" s="112">
        <f t="shared" si="1"/>
        <v>24496</v>
      </c>
      <c r="T37" s="75"/>
    </row>
    <row r="38" spans="1:26" x14ac:dyDescent="0.25">
      <c r="F38" s="35"/>
      <c r="G38" s="35"/>
      <c r="H38" s="79">
        <f t="shared" si="3"/>
        <v>2048</v>
      </c>
      <c r="I38" s="86">
        <f t="shared" si="2"/>
        <v>0.26065630205201562</v>
      </c>
      <c r="J38" s="277">
        <f t="shared" si="4"/>
        <v>1.01</v>
      </c>
      <c r="K38" s="277">
        <f t="shared" si="5"/>
        <v>0.13</v>
      </c>
      <c r="L38" s="278">
        <f t="shared" si="6"/>
        <v>0</v>
      </c>
      <c r="M38" s="276">
        <f t="shared" si="8"/>
        <v>0.57000000000000006</v>
      </c>
      <c r="N38" s="277">
        <f t="shared" si="8"/>
        <v>0.08</v>
      </c>
      <c r="O38" s="278">
        <f t="shared" si="8"/>
        <v>0</v>
      </c>
      <c r="P38" s="276">
        <f t="shared" si="9"/>
        <v>0.43999999999999995</v>
      </c>
      <c r="Q38" s="279">
        <f t="shared" si="9"/>
        <v>0.05</v>
      </c>
      <c r="R38" s="278">
        <f t="shared" si="9"/>
        <v>0</v>
      </c>
      <c r="S38" s="113">
        <f t="shared" si="1"/>
        <v>24496</v>
      </c>
      <c r="T38" s="75"/>
    </row>
    <row r="39" spans="1:26" x14ac:dyDescent="0.25">
      <c r="A39" s="44"/>
      <c r="B39" s="44"/>
      <c r="C39" s="44"/>
      <c r="F39" s="35"/>
      <c r="G39" s="35"/>
      <c r="H39" s="79">
        <f t="shared" si="3"/>
        <v>2049</v>
      </c>
      <c r="I39" s="86">
        <f t="shared" si="2"/>
        <v>0.27011122431740553</v>
      </c>
      <c r="J39" s="277">
        <f t="shared" si="4"/>
        <v>1.02</v>
      </c>
      <c r="K39" s="277">
        <f t="shared" si="5"/>
        <v>0.13</v>
      </c>
      <c r="L39" s="278">
        <f t="shared" si="6"/>
        <v>0</v>
      </c>
      <c r="M39" s="276">
        <f t="shared" si="8"/>
        <v>0.57999999999999996</v>
      </c>
      <c r="N39" s="277">
        <f t="shared" si="8"/>
        <v>0.08</v>
      </c>
      <c r="O39" s="278">
        <f t="shared" si="8"/>
        <v>0</v>
      </c>
      <c r="P39" s="276">
        <f t="shared" si="9"/>
        <v>0.44000000000000006</v>
      </c>
      <c r="Q39" s="279">
        <f t="shared" si="9"/>
        <v>0.05</v>
      </c>
      <c r="R39" s="278">
        <f t="shared" si="9"/>
        <v>0</v>
      </c>
      <c r="S39" s="109">
        <f t="shared" si="1"/>
        <v>24496</v>
      </c>
      <c r="T39" s="75"/>
    </row>
    <row r="40" spans="1:26" x14ac:dyDescent="0.25">
      <c r="A40" s="126"/>
      <c r="B40" s="126"/>
      <c r="C40" s="126"/>
      <c r="F40" s="35"/>
      <c r="G40" s="35"/>
      <c r="H40" s="79">
        <f t="shared" si="3"/>
        <v>2050</v>
      </c>
      <c r="I40" s="86">
        <f t="shared" si="2"/>
        <v>0.27963705849978604</v>
      </c>
      <c r="J40" s="277">
        <f t="shared" si="4"/>
        <v>1.03</v>
      </c>
      <c r="K40" s="277">
        <f t="shared" si="5"/>
        <v>0.13</v>
      </c>
      <c r="L40" s="278">
        <f t="shared" si="6"/>
        <v>0</v>
      </c>
      <c r="M40" s="276">
        <f t="shared" si="8"/>
        <v>0.57999999999999996</v>
      </c>
      <c r="N40" s="277">
        <f t="shared" si="8"/>
        <v>0.08</v>
      </c>
      <c r="O40" s="278">
        <f t="shared" si="8"/>
        <v>0</v>
      </c>
      <c r="P40" s="276">
        <f t="shared" si="9"/>
        <v>0.45000000000000007</v>
      </c>
      <c r="Q40" s="279">
        <f t="shared" si="9"/>
        <v>0.05</v>
      </c>
      <c r="R40" s="278">
        <f t="shared" si="9"/>
        <v>0</v>
      </c>
      <c r="S40" s="109">
        <f t="shared" si="1"/>
        <v>24540</v>
      </c>
      <c r="T40" s="75"/>
    </row>
    <row r="41" spans="1:26" ht="15.75" customHeight="1" x14ac:dyDescent="0.35">
      <c r="A41" s="35" t="s">
        <v>111</v>
      </c>
      <c r="B41" s="425"/>
      <c r="C41" s="425"/>
      <c r="F41" s="35"/>
      <c r="G41" s="35"/>
      <c r="H41" s="79">
        <f t="shared" si="3"/>
        <v>2051</v>
      </c>
      <c r="I41" s="86">
        <f t="shared" si="2"/>
        <v>0.2892343364385348</v>
      </c>
      <c r="J41" s="277">
        <f t="shared" si="4"/>
        <v>1.04</v>
      </c>
      <c r="K41" s="277">
        <f t="shared" si="5"/>
        <v>0.13</v>
      </c>
      <c r="L41" s="278">
        <f t="shared" si="6"/>
        <v>0</v>
      </c>
      <c r="M41" s="276">
        <f t="shared" si="8"/>
        <v>0.59</v>
      </c>
      <c r="N41" s="277">
        <f t="shared" si="8"/>
        <v>0.08</v>
      </c>
      <c r="O41" s="278">
        <f t="shared" si="8"/>
        <v>0</v>
      </c>
      <c r="P41" s="276">
        <f t="shared" si="9"/>
        <v>0.45000000000000007</v>
      </c>
      <c r="Q41" s="279">
        <f t="shared" si="9"/>
        <v>0.05</v>
      </c>
      <c r="R41" s="278">
        <f t="shared" si="9"/>
        <v>0</v>
      </c>
      <c r="S41" s="109">
        <f t="shared" si="1"/>
        <v>24540</v>
      </c>
      <c r="T41" s="94"/>
      <c r="U41" s="94"/>
      <c r="V41" s="94"/>
      <c r="W41" s="94"/>
      <c r="X41" s="94"/>
      <c r="Y41" s="94"/>
      <c r="Z41" s="94"/>
    </row>
    <row r="42" spans="1:26" x14ac:dyDescent="0.25">
      <c r="A42" s="191" t="s">
        <v>36</v>
      </c>
      <c r="B42" s="300" t="s">
        <v>112</v>
      </c>
      <c r="C42" s="189">
        <v>7.4999999999999997E-3</v>
      </c>
      <c r="D42" s="267" t="s">
        <v>113</v>
      </c>
      <c r="F42" s="35"/>
      <c r="G42" s="35"/>
      <c r="H42" s="79">
        <f t="shared" si="3"/>
        <v>2052</v>
      </c>
      <c r="I42" s="86">
        <f t="shared" si="2"/>
        <v>0.29890359396182387</v>
      </c>
      <c r="J42" s="277">
        <f t="shared" si="4"/>
        <v>1.04</v>
      </c>
      <c r="K42" s="277">
        <f t="shared" si="5"/>
        <v>0.13</v>
      </c>
      <c r="L42" s="278">
        <f t="shared" si="6"/>
        <v>0</v>
      </c>
      <c r="M42" s="276">
        <f t="shared" si="8"/>
        <v>0.59</v>
      </c>
      <c r="N42" s="277">
        <f t="shared" si="8"/>
        <v>0.08</v>
      </c>
      <c r="O42" s="278">
        <f t="shared" si="8"/>
        <v>0</v>
      </c>
      <c r="P42" s="276">
        <f t="shared" si="9"/>
        <v>0.45000000000000007</v>
      </c>
      <c r="Q42" s="279">
        <f t="shared" si="9"/>
        <v>0.05</v>
      </c>
      <c r="R42" s="278">
        <f t="shared" si="9"/>
        <v>0</v>
      </c>
      <c r="S42" s="109">
        <f t="shared" si="1"/>
        <v>24540</v>
      </c>
      <c r="T42" s="94"/>
      <c r="U42" s="94"/>
      <c r="V42" s="94"/>
      <c r="W42" s="94"/>
      <c r="X42" s="94"/>
      <c r="Y42" s="94"/>
      <c r="Z42" s="94"/>
    </row>
    <row r="43" spans="1:26" x14ac:dyDescent="0.25">
      <c r="A43" s="192" t="s">
        <v>37</v>
      </c>
      <c r="B43" s="267" t="s">
        <v>116</v>
      </c>
      <c r="F43" s="35"/>
      <c r="G43" s="35"/>
      <c r="H43" s="79">
        <f t="shared" si="3"/>
        <v>2053</v>
      </c>
      <c r="I43" s="86">
        <f t="shared" si="2"/>
        <v>0.30864537091653754</v>
      </c>
      <c r="J43" s="277">
        <f t="shared" si="4"/>
        <v>1.05</v>
      </c>
      <c r="K43" s="277">
        <f t="shared" si="5"/>
        <v>0.14000000000000001</v>
      </c>
      <c r="L43" s="278">
        <f t="shared" si="6"/>
        <v>0</v>
      </c>
      <c r="M43" s="276">
        <f t="shared" si="8"/>
        <v>0.59</v>
      </c>
      <c r="N43" s="277">
        <f t="shared" si="8"/>
        <v>0.08</v>
      </c>
      <c r="O43" s="278">
        <f t="shared" si="8"/>
        <v>0</v>
      </c>
      <c r="P43" s="276">
        <f t="shared" si="9"/>
        <v>0.46000000000000008</v>
      </c>
      <c r="Q43" s="279">
        <f t="shared" si="9"/>
        <v>6.0000000000000012E-2</v>
      </c>
      <c r="R43" s="278">
        <f t="shared" si="9"/>
        <v>0</v>
      </c>
      <c r="S43" s="109">
        <f t="shared" si="1"/>
        <v>29096.000000000004</v>
      </c>
      <c r="T43" s="94"/>
      <c r="U43" s="94"/>
      <c r="V43" s="94"/>
      <c r="W43" s="94"/>
      <c r="X43" s="94"/>
      <c r="Y43" s="94"/>
      <c r="Z43" s="94"/>
    </row>
    <row r="44" spans="1:26" x14ac:dyDescent="0.25">
      <c r="A44" s="9"/>
      <c r="B44" s="43"/>
      <c r="C44" s="43"/>
      <c r="F44" s="35"/>
      <c r="G44" s="37"/>
      <c r="H44" s="79">
        <f t="shared" si="3"/>
        <v>2054</v>
      </c>
      <c r="I44" s="86">
        <f t="shared" si="2"/>
        <v>0.31846021119841161</v>
      </c>
      <c r="J44" s="277">
        <f t="shared" si="4"/>
        <v>1.06</v>
      </c>
      <c r="K44" s="277">
        <f t="shared" si="5"/>
        <v>0.14000000000000001</v>
      </c>
      <c r="L44" s="278">
        <f t="shared" si="6"/>
        <v>0</v>
      </c>
      <c r="M44" s="276">
        <f t="shared" si="8"/>
        <v>0.6</v>
      </c>
      <c r="N44" s="277">
        <f t="shared" si="8"/>
        <v>0.08</v>
      </c>
      <c r="O44" s="278">
        <f t="shared" si="8"/>
        <v>0</v>
      </c>
      <c r="P44" s="276">
        <f t="shared" ref="P44:R47" si="10">ABS(J44-M44)</f>
        <v>0.46000000000000008</v>
      </c>
      <c r="Q44" s="279">
        <f t="shared" si="10"/>
        <v>6.0000000000000012E-2</v>
      </c>
      <c r="R44" s="278">
        <f t="shared" si="10"/>
        <v>0</v>
      </c>
      <c r="S44" s="109">
        <f t="shared" si="1"/>
        <v>29096.000000000004</v>
      </c>
      <c r="T44" s="75"/>
    </row>
    <row r="45" spans="1:26" ht="15" customHeight="1" x14ac:dyDescent="0.25">
      <c r="A45" s="43"/>
      <c r="B45" s="43"/>
      <c r="C45" s="43"/>
      <c r="F45" s="35"/>
      <c r="G45" s="37"/>
      <c r="H45" s="79">
        <f t="shared" si="3"/>
        <v>2055</v>
      </c>
      <c r="I45" s="86">
        <f t="shared" si="2"/>
        <v>0.32834866278239994</v>
      </c>
      <c r="J45" s="277">
        <f t="shared" si="4"/>
        <v>1.07</v>
      </c>
      <c r="K45" s="277">
        <f t="shared" si="5"/>
        <v>0.14000000000000001</v>
      </c>
      <c r="L45" s="278">
        <f t="shared" si="6"/>
        <v>0</v>
      </c>
      <c r="M45" s="276">
        <f t="shared" si="8"/>
        <v>0.6</v>
      </c>
      <c r="N45" s="277">
        <f t="shared" si="8"/>
        <v>0.08</v>
      </c>
      <c r="O45" s="278">
        <f t="shared" si="8"/>
        <v>0</v>
      </c>
      <c r="P45" s="276">
        <f t="shared" si="10"/>
        <v>0.47000000000000008</v>
      </c>
      <c r="Q45" s="279">
        <f t="shared" si="10"/>
        <v>6.0000000000000012E-2</v>
      </c>
      <c r="R45" s="278">
        <f t="shared" si="10"/>
        <v>0</v>
      </c>
      <c r="S45" s="109">
        <f t="shared" si="1"/>
        <v>29140.000000000004</v>
      </c>
      <c r="T45" s="75"/>
    </row>
    <row r="46" spans="1:26" x14ac:dyDescent="0.25">
      <c r="A46" s="9"/>
      <c r="B46" s="43"/>
      <c r="C46" s="43"/>
      <c r="F46" s="35"/>
      <c r="G46" s="37"/>
      <c r="H46" s="79">
        <f t="shared" si="3"/>
        <v>2056</v>
      </c>
      <c r="I46" s="86">
        <f t="shared" si="2"/>
        <v>0.33831127775326819</v>
      </c>
      <c r="J46" s="277">
        <f t="shared" si="4"/>
        <v>1.08</v>
      </c>
      <c r="K46" s="277">
        <f t="shared" si="5"/>
        <v>0.14000000000000001</v>
      </c>
      <c r="L46" s="278">
        <f t="shared" si="6"/>
        <v>0</v>
      </c>
      <c r="M46" s="276">
        <f t="shared" si="8"/>
        <v>0.61</v>
      </c>
      <c r="N46" s="277">
        <f t="shared" si="8"/>
        <v>0.08</v>
      </c>
      <c r="O46" s="278">
        <f t="shared" si="8"/>
        <v>0</v>
      </c>
      <c r="P46" s="276">
        <f t="shared" si="10"/>
        <v>0.47000000000000008</v>
      </c>
      <c r="Q46" s="279">
        <f t="shared" si="10"/>
        <v>6.0000000000000012E-2</v>
      </c>
      <c r="R46" s="278">
        <f t="shared" si="10"/>
        <v>0</v>
      </c>
      <c r="S46" s="109">
        <f t="shared" si="1"/>
        <v>29140.000000000004</v>
      </c>
      <c r="T46" s="75"/>
    </row>
    <row r="47" spans="1:26" ht="15.75" thickBot="1" x14ac:dyDescent="0.3">
      <c r="A47" s="43"/>
      <c r="B47" s="43"/>
      <c r="C47" s="43"/>
      <c r="F47" s="35"/>
      <c r="G47" s="37"/>
      <c r="H47" s="80">
        <f t="shared" si="3"/>
        <v>2057</v>
      </c>
      <c r="I47" s="377">
        <f t="shared" si="2"/>
        <v>0.34834861233641767</v>
      </c>
      <c r="J47" s="378">
        <f t="shared" si="4"/>
        <v>1.08</v>
      </c>
      <c r="K47" s="378">
        <f t="shared" si="5"/>
        <v>0.14000000000000001</v>
      </c>
      <c r="L47" s="379">
        <f t="shared" si="6"/>
        <v>0</v>
      </c>
      <c r="M47" s="380">
        <f t="shared" si="8"/>
        <v>0.61</v>
      </c>
      <c r="N47" s="378">
        <f t="shared" si="8"/>
        <v>0.08</v>
      </c>
      <c r="O47" s="379">
        <f t="shared" si="8"/>
        <v>0</v>
      </c>
      <c r="P47" s="380">
        <f t="shared" si="10"/>
        <v>0.47000000000000008</v>
      </c>
      <c r="Q47" s="381">
        <f t="shared" si="10"/>
        <v>6.0000000000000012E-2</v>
      </c>
      <c r="R47" s="379">
        <f t="shared" si="10"/>
        <v>0</v>
      </c>
      <c r="S47" s="95">
        <f t="shared" si="1"/>
        <v>29140.000000000004</v>
      </c>
      <c r="T47" s="75"/>
    </row>
    <row r="48" spans="1:26" ht="15.75" thickBot="1" x14ac:dyDescent="0.3">
      <c r="A48" s="43"/>
      <c r="B48" s="43"/>
      <c r="C48" s="43"/>
      <c r="F48" s="35"/>
      <c r="G48" s="9"/>
      <c r="H48" s="97"/>
      <c r="I48" s="98"/>
      <c r="J48" s="97"/>
      <c r="K48" s="99"/>
      <c r="L48" s="99"/>
      <c r="M48" s="99"/>
      <c r="N48" s="99"/>
      <c r="O48" s="99"/>
      <c r="P48" s="9"/>
      <c r="R48" s="427" t="s">
        <v>10</v>
      </c>
      <c r="S48" s="95">
        <f>SUM(S7:S43)</f>
        <v>649596</v>
      </c>
      <c r="T48" s="75"/>
    </row>
    <row r="49" spans="1:20" x14ac:dyDescent="0.25">
      <c r="A49" s="9"/>
      <c r="B49" s="43"/>
      <c r="C49" s="43"/>
      <c r="F49" s="35"/>
      <c r="G49" s="9"/>
      <c r="H49" s="97"/>
      <c r="I49" s="98"/>
      <c r="J49" s="97"/>
      <c r="K49" s="99"/>
      <c r="L49" s="99"/>
      <c r="M49" s="99"/>
      <c r="N49" s="99"/>
      <c r="O49" s="99"/>
      <c r="P49" s="9"/>
      <c r="T49" s="75"/>
    </row>
    <row r="50" spans="1:20" x14ac:dyDescent="0.25">
      <c r="A50" s="43"/>
      <c r="B50" s="43"/>
      <c r="C50" s="43"/>
      <c r="G50" s="9"/>
      <c r="T50" s="75"/>
    </row>
    <row r="51" spans="1:20" x14ac:dyDescent="0.25">
      <c r="A51" s="9"/>
      <c r="B51" s="43"/>
      <c r="C51" s="43"/>
      <c r="G51" s="9"/>
      <c r="T51" s="75"/>
    </row>
    <row r="52" spans="1:20" x14ac:dyDescent="0.25">
      <c r="A52" s="43"/>
      <c r="B52" s="43"/>
      <c r="C52" s="43"/>
      <c r="G52" s="9"/>
      <c r="H52" s="97"/>
      <c r="I52" s="98"/>
      <c r="J52" s="97"/>
      <c r="K52" s="99"/>
      <c r="L52" s="99"/>
      <c r="M52" s="99"/>
      <c r="N52" s="99"/>
      <c r="O52" s="99"/>
      <c r="P52" s="9"/>
      <c r="T52" s="75"/>
    </row>
    <row r="53" spans="1:20" x14ac:dyDescent="0.25">
      <c r="A53" s="9"/>
      <c r="B53" s="43"/>
      <c r="C53" s="43"/>
      <c r="G53" s="9"/>
      <c r="H53" s="97"/>
      <c r="I53" s="98"/>
      <c r="J53" s="97"/>
      <c r="K53" s="99"/>
      <c r="L53" s="99"/>
      <c r="M53" s="99"/>
      <c r="N53" s="99"/>
      <c r="O53" s="99"/>
      <c r="P53" s="9"/>
      <c r="T53" s="75"/>
    </row>
    <row r="54" spans="1:20" x14ac:dyDescent="0.25">
      <c r="A54" s="43"/>
      <c r="B54" s="43"/>
      <c r="C54" s="43"/>
      <c r="G54" s="9"/>
      <c r="J54" s="99"/>
      <c r="K54" s="99"/>
      <c r="L54" s="99"/>
      <c r="M54" s="99"/>
      <c r="N54" s="99"/>
      <c r="O54" s="99"/>
      <c r="P54" s="9"/>
      <c r="T54" s="75"/>
    </row>
    <row r="55" spans="1:20" x14ac:dyDescent="0.25">
      <c r="A55" s="9"/>
      <c r="B55" s="43"/>
      <c r="C55" s="43"/>
      <c r="G55" s="9"/>
      <c r="J55" s="97"/>
      <c r="K55" s="99"/>
      <c r="L55" s="99"/>
      <c r="M55" s="99"/>
      <c r="N55" s="99"/>
      <c r="O55" s="99"/>
      <c r="P55" s="9"/>
      <c r="T55" s="75"/>
    </row>
    <row r="56" spans="1:20" x14ac:dyDescent="0.25">
      <c r="A56" s="43"/>
      <c r="B56" s="43"/>
      <c r="C56" s="43"/>
      <c r="G56" s="9"/>
      <c r="J56" s="97"/>
      <c r="K56" s="99"/>
      <c r="L56" s="99"/>
      <c r="M56" s="99"/>
      <c r="N56" s="99"/>
      <c r="O56" s="99"/>
      <c r="P56" s="9"/>
      <c r="T56" s="75"/>
    </row>
    <row r="57" spans="1:20" x14ac:dyDescent="0.25">
      <c r="A57" s="43"/>
      <c r="B57" s="43"/>
      <c r="C57" s="43"/>
      <c r="G57" s="9"/>
      <c r="J57" s="97"/>
      <c r="K57" s="99"/>
      <c r="L57" s="99"/>
      <c r="M57" s="99"/>
      <c r="N57" s="99"/>
      <c r="O57" s="99"/>
      <c r="P57" s="9"/>
      <c r="T57" s="75"/>
    </row>
    <row r="58" spans="1:20" x14ac:dyDescent="0.25">
      <c r="A58" s="9"/>
      <c r="B58" s="43"/>
      <c r="C58" s="43"/>
      <c r="G58" s="9"/>
      <c r="J58" s="97"/>
      <c r="K58" s="99"/>
      <c r="L58" s="99"/>
      <c r="M58" s="99"/>
      <c r="N58" s="99"/>
      <c r="O58" s="99"/>
      <c r="P58" s="9"/>
      <c r="T58" s="75"/>
    </row>
    <row r="59" spans="1:20" x14ac:dyDescent="0.25">
      <c r="A59" s="43"/>
      <c r="B59" s="43"/>
      <c r="C59" s="43"/>
      <c r="G59" s="9"/>
      <c r="J59" s="97"/>
      <c r="K59" s="99"/>
      <c r="L59" s="99"/>
      <c r="M59" s="99"/>
      <c r="N59" s="99"/>
      <c r="O59" s="99"/>
      <c r="P59" s="9"/>
      <c r="T59" s="75"/>
    </row>
    <row r="60" spans="1:20" x14ac:dyDescent="0.25">
      <c r="A60" s="9"/>
      <c r="B60" s="43"/>
      <c r="C60" s="43"/>
      <c r="G60" s="9"/>
      <c r="J60" s="97"/>
      <c r="K60" s="99"/>
      <c r="L60" s="99"/>
      <c r="M60" s="99"/>
      <c r="N60" s="99"/>
      <c r="O60" s="99"/>
      <c r="P60" s="9"/>
      <c r="Q60" s="9"/>
      <c r="T60" s="75"/>
    </row>
    <row r="61" spans="1:20" x14ac:dyDescent="0.25">
      <c r="A61" s="43"/>
      <c r="B61" s="43"/>
      <c r="C61" s="43"/>
      <c r="G61" s="9"/>
      <c r="H61" s="97"/>
      <c r="I61" s="98"/>
      <c r="J61" s="97"/>
      <c r="K61" s="99"/>
      <c r="L61" s="99"/>
      <c r="M61" s="99"/>
      <c r="N61" s="99"/>
      <c r="O61" s="99"/>
      <c r="P61" s="9"/>
      <c r="T61" s="75"/>
    </row>
    <row r="62" spans="1:20" x14ac:dyDescent="0.25">
      <c r="A62" s="9"/>
      <c r="B62" s="43"/>
      <c r="C62" s="43"/>
      <c r="G62" s="9"/>
      <c r="H62" s="97"/>
      <c r="I62" s="100"/>
      <c r="J62" s="101"/>
      <c r="K62" s="101"/>
      <c r="L62" s="99"/>
      <c r="M62" s="99"/>
      <c r="N62" s="99"/>
      <c r="O62" s="99"/>
      <c r="P62" s="102"/>
      <c r="Q62" s="75"/>
      <c r="R62" s="75"/>
      <c r="S62" s="75"/>
      <c r="T62" s="75"/>
    </row>
    <row r="63" spans="1:20" ht="15" customHeight="1" x14ac:dyDescent="0.25">
      <c r="A63" s="43"/>
      <c r="B63" s="43"/>
      <c r="C63" s="43"/>
      <c r="G63" s="9"/>
      <c r="H63" s="97"/>
      <c r="I63" s="100"/>
      <c r="J63" s="97"/>
      <c r="K63" s="101"/>
      <c r="L63" s="99"/>
      <c r="M63" s="99"/>
      <c r="N63" s="99"/>
      <c r="O63" s="99"/>
      <c r="P63" s="103"/>
      <c r="Q63" s="35"/>
      <c r="R63" s="35"/>
      <c r="S63" s="35"/>
      <c r="T63" s="75"/>
    </row>
    <row r="64" spans="1:20" x14ac:dyDescent="0.25">
      <c r="A64" s="9"/>
      <c r="B64" s="43"/>
      <c r="C64" s="43"/>
      <c r="G64" s="9"/>
      <c r="H64" s="97"/>
      <c r="I64" s="100"/>
      <c r="J64" s="97"/>
      <c r="K64" s="101"/>
      <c r="L64" s="99"/>
      <c r="M64" s="99"/>
      <c r="N64" s="99"/>
      <c r="O64" s="99"/>
      <c r="P64" s="37"/>
      <c r="Q64" s="35"/>
      <c r="R64" s="35"/>
      <c r="S64" s="35"/>
      <c r="T64" s="75"/>
    </row>
    <row r="65" spans="1:20" x14ac:dyDescent="0.25">
      <c r="A65" s="9"/>
      <c r="B65" s="9"/>
      <c r="C65" s="9"/>
      <c r="G65" s="9"/>
      <c r="H65" s="97"/>
      <c r="I65" s="100"/>
      <c r="J65" s="97"/>
      <c r="K65" s="101"/>
      <c r="L65" s="99"/>
      <c r="M65" s="99"/>
      <c r="N65" s="99"/>
      <c r="O65" s="99"/>
      <c r="P65" s="37"/>
      <c r="Q65" s="35"/>
      <c r="R65" s="35"/>
      <c r="S65" s="35"/>
      <c r="T65" s="35"/>
    </row>
    <row r="66" spans="1:20" x14ac:dyDescent="0.25">
      <c r="A66" s="9"/>
      <c r="B66" s="9"/>
      <c r="C66" s="9"/>
      <c r="G66" s="9"/>
      <c r="H66" s="97"/>
      <c r="I66" s="100"/>
      <c r="J66" s="97"/>
      <c r="K66" s="101"/>
      <c r="L66" s="99"/>
      <c r="M66" s="99"/>
      <c r="N66" s="99"/>
      <c r="O66" s="99"/>
      <c r="P66" s="37"/>
      <c r="Q66" s="35"/>
      <c r="R66" s="35"/>
      <c r="S66" s="35"/>
      <c r="T66" s="35"/>
    </row>
    <row r="67" spans="1:20" x14ac:dyDescent="0.25">
      <c r="A67" s="9"/>
      <c r="B67" s="9"/>
      <c r="C67" s="9"/>
      <c r="G67" s="9"/>
      <c r="H67" s="97"/>
      <c r="I67" s="100"/>
      <c r="J67" s="97"/>
      <c r="K67" s="101"/>
      <c r="L67" s="99"/>
      <c r="M67" s="99"/>
      <c r="N67" s="99"/>
      <c r="O67" s="99"/>
      <c r="P67" s="37"/>
      <c r="Q67" s="35"/>
      <c r="R67" s="35"/>
      <c r="S67" s="35"/>
      <c r="T67" s="35"/>
    </row>
    <row r="68" spans="1:20" x14ac:dyDescent="0.25">
      <c r="A68" s="9"/>
      <c r="B68" s="9"/>
      <c r="C68" s="9"/>
      <c r="G68" s="9"/>
      <c r="H68" s="97"/>
      <c r="I68" s="100"/>
      <c r="J68" s="97"/>
      <c r="K68" s="101"/>
      <c r="L68" s="99"/>
      <c r="M68" s="99"/>
      <c r="N68" s="99"/>
      <c r="O68" s="99"/>
      <c r="P68" s="37"/>
      <c r="Q68" s="35"/>
      <c r="R68" s="35"/>
      <c r="S68" s="35"/>
      <c r="T68" s="35"/>
    </row>
    <row r="69" spans="1:20" x14ac:dyDescent="0.25">
      <c r="G69" s="9"/>
      <c r="H69" s="97"/>
      <c r="I69" s="100"/>
      <c r="J69" s="97"/>
      <c r="K69" s="101"/>
      <c r="L69" s="99"/>
      <c r="M69" s="99"/>
      <c r="N69" s="99"/>
      <c r="O69" s="99"/>
      <c r="P69" s="9"/>
      <c r="T69" s="35"/>
    </row>
    <row r="70" spans="1:20" x14ac:dyDescent="0.25">
      <c r="G70" s="9"/>
      <c r="H70" s="97"/>
      <c r="I70" s="100"/>
      <c r="J70" s="97"/>
      <c r="K70" s="101"/>
      <c r="L70" s="99"/>
      <c r="M70" s="99"/>
      <c r="N70" s="99"/>
      <c r="O70" s="99"/>
      <c r="P70" s="9"/>
      <c r="T70" s="35"/>
    </row>
    <row r="71" spans="1:20" x14ac:dyDescent="0.25">
      <c r="G71" s="9"/>
      <c r="H71" s="97"/>
      <c r="I71" s="100"/>
      <c r="J71" s="97"/>
      <c r="K71" s="101"/>
      <c r="L71" s="99"/>
      <c r="M71" s="99"/>
      <c r="N71" s="99"/>
      <c r="O71" s="99"/>
      <c r="P71" s="9"/>
      <c r="T71" s="35"/>
    </row>
    <row r="72" spans="1:20" x14ac:dyDescent="0.25">
      <c r="G72" s="9"/>
      <c r="H72" s="97"/>
      <c r="I72" s="100"/>
      <c r="J72" s="97"/>
      <c r="K72" s="101"/>
      <c r="L72" s="99"/>
      <c r="M72" s="99"/>
      <c r="N72" s="99"/>
      <c r="O72" s="99"/>
      <c r="P72" s="104"/>
      <c r="Q72" s="77"/>
      <c r="R72" s="75"/>
      <c r="S72" s="75"/>
      <c r="T72" s="35"/>
    </row>
    <row r="73" spans="1:20" x14ac:dyDescent="0.25">
      <c r="G73" s="9"/>
      <c r="H73" s="97"/>
      <c r="I73" s="100"/>
      <c r="J73" s="97"/>
      <c r="K73" s="101"/>
      <c r="L73" s="99"/>
      <c r="M73" s="99"/>
      <c r="N73" s="99"/>
      <c r="O73" s="99"/>
      <c r="P73" s="76"/>
      <c r="Q73" s="77"/>
      <c r="R73" s="75"/>
      <c r="S73" s="76"/>
      <c r="T73" s="35"/>
    </row>
    <row r="74" spans="1:20" x14ac:dyDescent="0.25">
      <c r="G74" s="9"/>
      <c r="H74" s="97"/>
      <c r="I74" s="100"/>
      <c r="J74" s="97"/>
      <c r="K74" s="101"/>
      <c r="L74" s="99"/>
      <c r="M74" s="99"/>
      <c r="N74" s="99"/>
      <c r="O74" s="99"/>
      <c r="P74" s="76"/>
      <c r="Q74" s="77"/>
      <c r="R74" s="75"/>
      <c r="S74" s="75"/>
      <c r="T74" s="35"/>
    </row>
    <row r="75" spans="1:20" x14ac:dyDescent="0.25">
      <c r="G75" s="9"/>
      <c r="H75" s="97"/>
      <c r="I75" s="100"/>
      <c r="J75" s="97"/>
      <c r="K75" s="101"/>
      <c r="L75" s="99"/>
      <c r="M75" s="99"/>
      <c r="N75" s="99"/>
      <c r="O75" s="99"/>
      <c r="P75" s="76"/>
      <c r="Q75" s="75"/>
      <c r="R75" s="75"/>
      <c r="S75" s="75"/>
      <c r="T75" s="35"/>
    </row>
    <row r="76" spans="1:20" x14ac:dyDescent="0.25">
      <c r="G76" s="9"/>
      <c r="H76" s="97"/>
      <c r="I76" s="100"/>
      <c r="J76" s="97"/>
      <c r="K76" s="101"/>
      <c r="L76" s="99"/>
      <c r="M76" s="99"/>
      <c r="N76" s="99"/>
      <c r="O76" s="99"/>
      <c r="P76" s="76"/>
      <c r="Q76" s="75"/>
      <c r="R76" s="75"/>
      <c r="S76" s="75"/>
    </row>
    <row r="77" spans="1:20" x14ac:dyDescent="0.25">
      <c r="G77" s="9"/>
      <c r="H77" s="105"/>
      <c r="I77" s="9"/>
      <c r="J77" s="9"/>
      <c r="K77" s="9"/>
      <c r="L77" s="9"/>
      <c r="M77" s="9"/>
      <c r="N77" s="9"/>
      <c r="O77" s="9"/>
      <c r="P77" s="76"/>
      <c r="Q77" s="75"/>
      <c r="R77" s="75"/>
      <c r="S77" s="75"/>
    </row>
    <row r="78" spans="1:20" x14ac:dyDescent="0.25">
      <c r="G78" s="9"/>
      <c r="H78" s="9"/>
      <c r="I78" s="9"/>
      <c r="J78" s="9"/>
      <c r="K78" s="9"/>
      <c r="L78" s="9"/>
      <c r="M78" s="9"/>
      <c r="N78" s="9"/>
      <c r="O78" s="9"/>
      <c r="P78" s="76"/>
      <c r="Q78" s="75"/>
      <c r="R78" s="75"/>
      <c r="S78" s="75"/>
    </row>
    <row r="79" spans="1:20" x14ac:dyDescent="0.25"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20" x14ac:dyDescent="0.25">
      <c r="G80" s="9"/>
    </row>
    <row r="81" spans="7:7" x14ac:dyDescent="0.25">
      <c r="G81" s="9"/>
    </row>
  </sheetData>
  <mergeCells count="21">
    <mergeCell ref="H4:L4"/>
    <mergeCell ref="M4:O4"/>
    <mergeCell ref="P4:R4"/>
    <mergeCell ref="S4:S6"/>
    <mergeCell ref="H5:H6"/>
    <mergeCell ref="I5:I6"/>
    <mergeCell ref="J5:J6"/>
    <mergeCell ref="K5:K6"/>
    <mergeCell ref="L5:L6"/>
    <mergeCell ref="M5:M6"/>
    <mergeCell ref="O5:O6"/>
    <mergeCell ref="P5:P6"/>
    <mergeCell ref="Q5:Q6"/>
    <mergeCell ref="R5:R6"/>
    <mergeCell ref="A26:F26"/>
    <mergeCell ref="N5:N6"/>
    <mergeCell ref="A14:B15"/>
    <mergeCell ref="C14:C15"/>
    <mergeCell ref="A22:C22"/>
    <mergeCell ref="A23:B23"/>
    <mergeCell ref="A24:F25"/>
  </mergeCells>
  <pageMargins left="0.35" right="0.2" top="0.75" bottom="0.75" header="0.3" footer="0.3"/>
  <pageSetup paperSize="133" scale="7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FE747-A1DC-4D44-801A-7E9BACA1E053}">
  <sheetPr>
    <pageSetUpPr fitToPage="1"/>
  </sheetPr>
  <dimension ref="A1:Z81"/>
  <sheetViews>
    <sheetView view="pageBreakPreview" zoomScale="70" zoomScaleNormal="55" zoomScaleSheetLayoutView="70" workbookViewId="0">
      <selection activeCell="A29" sqref="A29"/>
    </sheetView>
  </sheetViews>
  <sheetFormatPr defaultRowHeight="15" x14ac:dyDescent="0.25"/>
  <cols>
    <col min="1" max="1" width="13.85546875" style="267" customWidth="1"/>
    <col min="2" max="2" width="14.5703125" style="267" customWidth="1"/>
    <col min="3" max="3" width="14.42578125" style="267" customWidth="1"/>
    <col min="4" max="4" width="11.85546875" style="267" customWidth="1"/>
    <col min="5" max="5" width="14" style="267" customWidth="1"/>
    <col min="6" max="8" width="9.140625" style="267"/>
    <col min="9" max="9" width="28.7109375" style="267" customWidth="1"/>
    <col min="10" max="15" width="14.7109375" style="267" customWidth="1"/>
    <col min="16" max="18" width="14.28515625" style="267" customWidth="1"/>
    <col min="19" max="19" width="19" style="267" customWidth="1"/>
    <col min="20" max="20" width="15" style="267" customWidth="1"/>
    <col min="21" max="21" width="16.140625" style="267" customWidth="1"/>
    <col min="22" max="22" width="16.85546875" style="267" customWidth="1"/>
    <col min="23" max="23" width="15" style="267" customWidth="1"/>
    <col min="24" max="24" width="34.5703125" style="267" customWidth="1"/>
    <col min="25" max="16384" width="9.140625" style="267"/>
  </cols>
  <sheetData>
    <row r="1" spans="1:24" ht="15.75" x14ac:dyDescent="0.25">
      <c r="A1" s="62" t="s">
        <v>321</v>
      </c>
    </row>
    <row r="2" spans="1:24" ht="15.75" x14ac:dyDescent="0.25">
      <c r="A2" s="62" t="s">
        <v>8</v>
      </c>
      <c r="B2" s="35"/>
      <c r="C2" s="35"/>
      <c r="D2" s="35"/>
      <c r="E2" s="35"/>
      <c r="F2" s="3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4" ht="15.75" thickBot="1" x14ac:dyDescent="0.3">
      <c r="A3" s="37"/>
      <c r="B3" s="37"/>
      <c r="C3" s="201"/>
      <c r="D3" s="202"/>
      <c r="E3" s="202"/>
      <c r="F3" s="3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4" ht="15.75" thickBot="1" x14ac:dyDescent="0.3">
      <c r="A4" s="63" t="s">
        <v>5</v>
      </c>
      <c r="B4" s="64" t="s">
        <v>267</v>
      </c>
      <c r="C4" s="65"/>
      <c r="D4" s="37"/>
      <c r="E4" s="35"/>
      <c r="F4" s="35"/>
      <c r="H4" s="552" t="s">
        <v>118</v>
      </c>
      <c r="I4" s="553"/>
      <c r="J4" s="553"/>
      <c r="K4" s="553"/>
      <c r="L4" s="554"/>
      <c r="M4" s="552" t="s">
        <v>119</v>
      </c>
      <c r="N4" s="553"/>
      <c r="O4" s="554"/>
      <c r="P4" s="552" t="s">
        <v>120</v>
      </c>
      <c r="Q4" s="553"/>
      <c r="R4" s="554"/>
      <c r="S4" s="560" t="s">
        <v>268</v>
      </c>
      <c r="T4" s="75"/>
    </row>
    <row r="5" spans="1:24" ht="17.25" x14ac:dyDescent="0.25">
      <c r="A5" s="66" t="s">
        <v>191</v>
      </c>
      <c r="B5" s="67">
        <v>4400</v>
      </c>
      <c r="C5" s="68"/>
      <c r="D5" s="37"/>
      <c r="E5" s="35"/>
      <c r="F5" s="35"/>
      <c r="H5" s="563" t="s">
        <v>4</v>
      </c>
      <c r="I5" s="565" t="s">
        <v>117</v>
      </c>
      <c r="J5" s="567" t="s">
        <v>12</v>
      </c>
      <c r="K5" s="567" t="s">
        <v>13</v>
      </c>
      <c r="L5" s="555" t="s">
        <v>34</v>
      </c>
      <c r="M5" s="569" t="s">
        <v>12</v>
      </c>
      <c r="N5" s="571" t="s">
        <v>13</v>
      </c>
      <c r="O5" s="573" t="s">
        <v>34</v>
      </c>
      <c r="P5" s="563" t="s">
        <v>12</v>
      </c>
      <c r="Q5" s="567" t="s">
        <v>13</v>
      </c>
      <c r="R5" s="555" t="s">
        <v>14</v>
      </c>
      <c r="S5" s="561"/>
      <c r="T5" s="75"/>
    </row>
    <row r="6" spans="1:24" ht="18" thickBot="1" x14ac:dyDescent="0.3">
      <c r="A6" s="69" t="s">
        <v>192</v>
      </c>
      <c r="B6" s="70">
        <v>451200</v>
      </c>
      <c r="C6" s="68"/>
      <c r="D6" s="37"/>
      <c r="E6" s="35"/>
      <c r="F6" s="35"/>
      <c r="H6" s="564"/>
      <c r="I6" s="566"/>
      <c r="J6" s="568"/>
      <c r="K6" s="568"/>
      <c r="L6" s="556"/>
      <c r="M6" s="570"/>
      <c r="N6" s="572"/>
      <c r="O6" s="574"/>
      <c r="P6" s="564"/>
      <c r="Q6" s="568"/>
      <c r="R6" s="556"/>
      <c r="S6" s="562"/>
      <c r="T6" s="75"/>
      <c r="W6" s="9"/>
      <c r="X6" s="9"/>
    </row>
    <row r="7" spans="1:24" ht="18" thickBot="1" x14ac:dyDescent="0.3">
      <c r="A7" s="71" t="s">
        <v>193</v>
      </c>
      <c r="B7" s="72">
        <v>9600000</v>
      </c>
      <c r="C7" s="68"/>
      <c r="D7" s="37"/>
      <c r="E7" s="35"/>
      <c r="F7" s="35"/>
      <c r="H7" s="78">
        <v>2017</v>
      </c>
      <c r="I7" s="200">
        <v>0</v>
      </c>
      <c r="J7" s="274">
        <f>C17</f>
        <v>0.2</v>
      </c>
      <c r="K7" s="274">
        <f>C18</f>
        <v>0.4</v>
      </c>
      <c r="L7" s="275">
        <v>0</v>
      </c>
      <c r="M7" s="273">
        <f t="shared" ref="M7:O22" si="0">ROUNDUP(J7*$C$23,2)</f>
        <v>0.12</v>
      </c>
      <c r="N7" s="274">
        <f t="shared" si="0"/>
        <v>0.23</v>
      </c>
      <c r="O7" s="275">
        <f t="shared" si="0"/>
        <v>0</v>
      </c>
      <c r="P7" s="78"/>
      <c r="Q7" s="382"/>
      <c r="R7" s="383"/>
      <c r="S7" s="384">
        <f t="shared" ref="S7:S47" si="1">((P7*$B$5)+(Q7*$B$6)+(R7*$B$7))</f>
        <v>0</v>
      </c>
      <c r="T7" s="75"/>
      <c r="X7" s="9"/>
    </row>
    <row r="8" spans="1:24" x14ac:dyDescent="0.25">
      <c r="A8" s="37"/>
      <c r="B8" s="68"/>
      <c r="C8" s="68"/>
      <c r="D8" s="37"/>
      <c r="E8" s="35"/>
      <c r="F8" s="35"/>
      <c r="H8" s="79">
        <f>H7+1</f>
        <v>2018</v>
      </c>
      <c r="I8" s="86">
        <f t="shared" ref="I8:I47" si="2">((1+$C$42)^(H8-$H$7))-1</f>
        <v>7.5000000000000622E-3</v>
      </c>
      <c r="J8" s="277">
        <f>ROUNDUP($J$7*(1+I8),2)</f>
        <v>0.21000000000000002</v>
      </c>
      <c r="K8" s="277">
        <f>ROUNDUP($K$7*(1+I8),2)</f>
        <v>0.41000000000000003</v>
      </c>
      <c r="L8" s="278">
        <f>ROUNDUP($L$7*(1+I8),2)</f>
        <v>0</v>
      </c>
      <c r="M8" s="276">
        <f t="shared" si="0"/>
        <v>0.12</v>
      </c>
      <c r="N8" s="277">
        <f t="shared" si="0"/>
        <v>0.23</v>
      </c>
      <c r="O8" s="278">
        <f t="shared" si="0"/>
        <v>0</v>
      </c>
      <c r="P8" s="79"/>
      <c r="Q8" s="85"/>
      <c r="R8" s="87"/>
      <c r="S8" s="109">
        <f t="shared" si="1"/>
        <v>0</v>
      </c>
      <c r="T8" s="75"/>
    </row>
    <row r="9" spans="1:24" x14ac:dyDescent="0.25">
      <c r="A9" s="73" t="s">
        <v>196</v>
      </c>
      <c r="B9" s="73"/>
      <c r="C9" s="35"/>
      <c r="D9" s="35"/>
      <c r="E9" s="35"/>
      <c r="F9" s="35"/>
      <c r="H9" s="79">
        <f t="shared" ref="H9:H47" si="3">H8+1</f>
        <v>2019</v>
      </c>
      <c r="I9" s="86">
        <f t="shared" si="2"/>
        <v>1.5056250000000215E-2</v>
      </c>
      <c r="J9" s="277">
        <f t="shared" ref="J9:J47" si="4">ROUNDUP($J$7*(1+I9),2)</f>
        <v>0.21000000000000002</v>
      </c>
      <c r="K9" s="277">
        <f t="shared" ref="K9:K47" si="5">ROUNDUP($K$7*(1+I9),2)</f>
        <v>0.41000000000000003</v>
      </c>
      <c r="L9" s="278">
        <f t="shared" ref="L9:L47" si="6">ROUNDUP($L$7*(1+I9),2)</f>
        <v>0</v>
      </c>
      <c r="M9" s="276">
        <f t="shared" si="0"/>
        <v>0.12</v>
      </c>
      <c r="N9" s="277">
        <f t="shared" si="0"/>
        <v>0.23</v>
      </c>
      <c r="O9" s="278">
        <f t="shared" si="0"/>
        <v>0</v>
      </c>
      <c r="P9" s="79"/>
      <c r="Q9" s="85"/>
      <c r="R9" s="87"/>
      <c r="S9" s="109">
        <f t="shared" si="1"/>
        <v>0</v>
      </c>
      <c r="T9" s="75"/>
    </row>
    <row r="10" spans="1:24" x14ac:dyDescent="0.25">
      <c r="A10" s="299" t="s">
        <v>36</v>
      </c>
      <c r="B10" s="73" t="s">
        <v>195</v>
      </c>
      <c r="C10" s="35"/>
      <c r="D10" s="35"/>
      <c r="E10" s="35"/>
      <c r="F10" s="35"/>
      <c r="H10" s="79">
        <f t="shared" si="3"/>
        <v>2020</v>
      </c>
      <c r="I10" s="86">
        <f t="shared" si="2"/>
        <v>2.2669171875000282E-2</v>
      </c>
      <c r="J10" s="277">
        <f t="shared" si="4"/>
        <v>0.21000000000000002</v>
      </c>
      <c r="K10" s="277">
        <f t="shared" si="5"/>
        <v>0.41000000000000003</v>
      </c>
      <c r="L10" s="278">
        <f t="shared" si="6"/>
        <v>0</v>
      </c>
      <c r="M10" s="276">
        <f t="shared" si="0"/>
        <v>0.12</v>
      </c>
      <c r="N10" s="277">
        <f t="shared" si="0"/>
        <v>0.23</v>
      </c>
      <c r="O10" s="278">
        <f t="shared" si="0"/>
        <v>0</v>
      </c>
      <c r="P10" s="79"/>
      <c r="Q10" s="85"/>
      <c r="R10" s="87"/>
      <c r="S10" s="109">
        <f t="shared" si="1"/>
        <v>0</v>
      </c>
      <c r="T10" s="75"/>
    </row>
    <row r="11" spans="1:24" x14ac:dyDescent="0.25">
      <c r="A11" s="299" t="s">
        <v>37</v>
      </c>
      <c r="B11" s="73" t="s">
        <v>197</v>
      </c>
      <c r="C11" s="35"/>
      <c r="D11" s="35"/>
      <c r="E11" s="35"/>
      <c r="F11" s="35"/>
      <c r="H11" s="79">
        <f t="shared" si="3"/>
        <v>2021</v>
      </c>
      <c r="I11" s="86">
        <f t="shared" si="2"/>
        <v>3.0339190664062876E-2</v>
      </c>
      <c r="J11" s="277">
        <f t="shared" si="4"/>
        <v>0.21000000000000002</v>
      </c>
      <c r="K11" s="277">
        <f t="shared" si="5"/>
        <v>0.42</v>
      </c>
      <c r="L11" s="278">
        <f t="shared" si="6"/>
        <v>0</v>
      </c>
      <c r="M11" s="276">
        <f t="shared" si="0"/>
        <v>0.12</v>
      </c>
      <c r="N11" s="277">
        <f t="shared" si="0"/>
        <v>0.24000000000000002</v>
      </c>
      <c r="O11" s="278">
        <f t="shared" si="0"/>
        <v>0</v>
      </c>
      <c r="P11" s="79"/>
      <c r="Q11" s="85"/>
      <c r="R11" s="87"/>
      <c r="S11" s="109">
        <f t="shared" si="1"/>
        <v>0</v>
      </c>
      <c r="T11" s="75"/>
    </row>
    <row r="12" spans="1:24" ht="15" customHeight="1" x14ac:dyDescent="0.25">
      <c r="A12" s="299" t="s">
        <v>38</v>
      </c>
      <c r="B12" s="73" t="s">
        <v>198</v>
      </c>
      <c r="C12" s="35"/>
      <c r="D12" s="35"/>
      <c r="E12" s="35"/>
      <c r="F12" s="35"/>
      <c r="H12" s="79">
        <f t="shared" si="3"/>
        <v>2022</v>
      </c>
      <c r="I12" s="86">
        <f t="shared" si="2"/>
        <v>3.8066734594043306E-2</v>
      </c>
      <c r="J12" s="277">
        <f t="shared" si="4"/>
        <v>0.21000000000000002</v>
      </c>
      <c r="K12" s="277">
        <f t="shared" si="5"/>
        <v>0.42</v>
      </c>
      <c r="L12" s="278">
        <f t="shared" si="6"/>
        <v>0</v>
      </c>
      <c r="M12" s="276">
        <f t="shared" si="0"/>
        <v>0.12</v>
      </c>
      <c r="N12" s="277">
        <f t="shared" si="0"/>
        <v>0.24000000000000002</v>
      </c>
      <c r="O12" s="278">
        <f t="shared" si="0"/>
        <v>0</v>
      </c>
      <c r="P12" s="79"/>
      <c r="Q12" s="85"/>
      <c r="R12" s="87"/>
      <c r="S12" s="109">
        <f t="shared" si="1"/>
        <v>0</v>
      </c>
      <c r="T12" s="75"/>
    </row>
    <row r="13" spans="1:24" ht="15.75" thickBot="1" x14ac:dyDescent="0.3">
      <c r="A13" s="35"/>
      <c r="B13" s="35"/>
      <c r="C13" s="35"/>
      <c r="D13" s="35"/>
      <c r="E13" s="35"/>
      <c r="F13" s="35"/>
      <c r="H13" s="79">
        <f t="shared" si="3"/>
        <v>2023</v>
      </c>
      <c r="I13" s="86">
        <f t="shared" si="2"/>
        <v>4.5852235103498895E-2</v>
      </c>
      <c r="J13" s="277">
        <f t="shared" si="4"/>
        <v>0.21000000000000002</v>
      </c>
      <c r="K13" s="277">
        <f t="shared" si="5"/>
        <v>0.42</v>
      </c>
      <c r="L13" s="278">
        <f t="shared" si="6"/>
        <v>0</v>
      </c>
      <c r="M13" s="276">
        <f t="shared" si="0"/>
        <v>0.12</v>
      </c>
      <c r="N13" s="277">
        <f t="shared" si="0"/>
        <v>0.24000000000000002</v>
      </c>
      <c r="O13" s="278">
        <f t="shared" si="0"/>
        <v>0</v>
      </c>
      <c r="P13" s="79"/>
      <c r="Q13" s="85"/>
      <c r="R13" s="87"/>
      <c r="S13" s="109">
        <f t="shared" si="1"/>
        <v>0</v>
      </c>
      <c r="T13" s="75"/>
    </row>
    <row r="14" spans="1:24" x14ac:dyDescent="0.25">
      <c r="A14" s="577" t="s">
        <v>199</v>
      </c>
      <c r="B14" s="577"/>
      <c r="C14" s="577" t="s">
        <v>11</v>
      </c>
      <c r="D14" s="35"/>
      <c r="E14" s="35"/>
      <c r="F14" s="35"/>
      <c r="H14" s="79">
        <f t="shared" si="3"/>
        <v>2024</v>
      </c>
      <c r="I14" s="86">
        <f t="shared" si="2"/>
        <v>5.3696126866775273E-2</v>
      </c>
      <c r="J14" s="277">
        <f t="shared" si="4"/>
        <v>0.22</v>
      </c>
      <c r="K14" s="277">
        <f t="shared" si="5"/>
        <v>0.43</v>
      </c>
      <c r="L14" s="278">
        <f t="shared" si="6"/>
        <v>0</v>
      </c>
      <c r="M14" s="276">
        <f t="shared" si="0"/>
        <v>0.13</v>
      </c>
      <c r="N14" s="277">
        <f t="shared" si="0"/>
        <v>0.25</v>
      </c>
      <c r="O14" s="278">
        <f t="shared" si="0"/>
        <v>0</v>
      </c>
      <c r="P14" s="79"/>
      <c r="Q14" s="85"/>
      <c r="R14" s="87"/>
      <c r="S14" s="109">
        <f t="shared" si="1"/>
        <v>0</v>
      </c>
      <c r="T14" s="75"/>
    </row>
    <row r="15" spans="1:24" ht="15.75" thickBot="1" x14ac:dyDescent="0.3">
      <c r="A15" s="578"/>
      <c r="B15" s="578"/>
      <c r="C15" s="578"/>
      <c r="D15" s="35"/>
      <c r="E15" s="35"/>
      <c r="F15" s="35"/>
      <c r="H15" s="79">
        <f t="shared" si="3"/>
        <v>2025</v>
      </c>
      <c r="I15" s="86">
        <f t="shared" si="2"/>
        <v>6.159884781827607E-2</v>
      </c>
      <c r="J15" s="277">
        <f t="shared" si="4"/>
        <v>0.22</v>
      </c>
      <c r="K15" s="277">
        <f t="shared" si="5"/>
        <v>0.43</v>
      </c>
      <c r="L15" s="278">
        <f t="shared" si="6"/>
        <v>0</v>
      </c>
      <c r="M15" s="276">
        <f t="shared" si="0"/>
        <v>0.13</v>
      </c>
      <c r="N15" s="277">
        <f t="shared" si="0"/>
        <v>0.25</v>
      </c>
      <c r="O15" s="278">
        <f t="shared" si="0"/>
        <v>0</v>
      </c>
      <c r="P15" s="79"/>
      <c r="Q15" s="85"/>
      <c r="R15" s="87"/>
      <c r="S15" s="109">
        <f t="shared" si="1"/>
        <v>0</v>
      </c>
      <c r="T15" s="75"/>
    </row>
    <row r="16" spans="1:24" x14ac:dyDescent="0.25">
      <c r="A16" s="66" t="s">
        <v>31</v>
      </c>
      <c r="B16" s="66">
        <v>7</v>
      </c>
      <c r="C16" s="82">
        <f>B16/10</f>
        <v>0.7</v>
      </c>
      <c r="D16" s="35"/>
      <c r="E16" s="35"/>
      <c r="F16" s="35"/>
      <c r="H16" s="79">
        <f t="shared" si="3"/>
        <v>2026</v>
      </c>
      <c r="I16" s="86">
        <f t="shared" si="2"/>
        <v>6.9560839176913136E-2</v>
      </c>
      <c r="J16" s="277">
        <f t="shared" si="4"/>
        <v>0.22</v>
      </c>
      <c r="K16" s="277">
        <f t="shared" si="5"/>
        <v>0.43</v>
      </c>
      <c r="L16" s="278">
        <f t="shared" si="6"/>
        <v>0</v>
      </c>
      <c r="M16" s="276">
        <f t="shared" si="0"/>
        <v>0.13</v>
      </c>
      <c r="N16" s="277">
        <f t="shared" si="0"/>
        <v>0.25</v>
      </c>
      <c r="O16" s="278">
        <f t="shared" si="0"/>
        <v>0</v>
      </c>
      <c r="P16" s="79"/>
      <c r="Q16" s="85"/>
      <c r="R16" s="87"/>
      <c r="S16" s="109">
        <f t="shared" si="1"/>
        <v>0</v>
      </c>
      <c r="T16" s="75"/>
    </row>
    <row r="17" spans="1:20" x14ac:dyDescent="0.25">
      <c r="A17" s="69" t="s">
        <v>6</v>
      </c>
      <c r="B17" s="69">
        <v>2</v>
      </c>
      <c r="C17" s="83">
        <f>B17/10</f>
        <v>0.2</v>
      </c>
      <c r="D17" s="35"/>
      <c r="E17" s="35"/>
      <c r="F17" s="35"/>
      <c r="H17" s="79">
        <f t="shared" si="3"/>
        <v>2027</v>
      </c>
      <c r="I17" s="86">
        <f t="shared" si="2"/>
        <v>7.7582545470740172E-2</v>
      </c>
      <c r="J17" s="277">
        <f t="shared" si="4"/>
        <v>0.22</v>
      </c>
      <c r="K17" s="277">
        <f t="shared" si="5"/>
        <v>0.44</v>
      </c>
      <c r="L17" s="278">
        <f t="shared" si="6"/>
        <v>0</v>
      </c>
      <c r="M17" s="276">
        <f t="shared" si="0"/>
        <v>0.13</v>
      </c>
      <c r="N17" s="277">
        <f t="shared" si="0"/>
        <v>0.25</v>
      </c>
      <c r="O17" s="278">
        <f t="shared" si="0"/>
        <v>0</v>
      </c>
      <c r="P17" s="276">
        <f t="shared" ref="P17:R22" si="7">ABS(J17-M17)</f>
        <v>0.09</v>
      </c>
      <c r="Q17" s="279">
        <f t="shared" si="7"/>
        <v>0.19</v>
      </c>
      <c r="R17" s="278">
        <f t="shared" si="7"/>
        <v>0</v>
      </c>
      <c r="S17" s="109">
        <f t="shared" si="1"/>
        <v>86124</v>
      </c>
      <c r="T17" s="75"/>
    </row>
    <row r="18" spans="1:20" x14ac:dyDescent="0.25">
      <c r="A18" s="69" t="s">
        <v>7</v>
      </c>
      <c r="B18" s="69">
        <v>4</v>
      </c>
      <c r="C18" s="83">
        <f>B18/10</f>
        <v>0.4</v>
      </c>
      <c r="D18" s="42"/>
      <c r="E18" s="35"/>
      <c r="F18" s="35"/>
      <c r="H18" s="79">
        <f t="shared" si="3"/>
        <v>2028</v>
      </c>
      <c r="I18" s="86">
        <f t="shared" si="2"/>
        <v>8.5664414561770874E-2</v>
      </c>
      <c r="J18" s="277">
        <f t="shared" si="4"/>
        <v>0.22</v>
      </c>
      <c r="K18" s="277">
        <f t="shared" si="5"/>
        <v>0.44</v>
      </c>
      <c r="L18" s="278">
        <f t="shared" si="6"/>
        <v>0</v>
      </c>
      <c r="M18" s="276">
        <f t="shared" si="0"/>
        <v>0.13</v>
      </c>
      <c r="N18" s="277">
        <f t="shared" si="0"/>
        <v>0.25</v>
      </c>
      <c r="O18" s="278">
        <f t="shared" si="0"/>
        <v>0</v>
      </c>
      <c r="P18" s="276">
        <f t="shared" si="7"/>
        <v>0.09</v>
      </c>
      <c r="Q18" s="279">
        <f t="shared" si="7"/>
        <v>0.19</v>
      </c>
      <c r="R18" s="278">
        <f t="shared" si="7"/>
        <v>0</v>
      </c>
      <c r="S18" s="109">
        <f t="shared" si="1"/>
        <v>86124</v>
      </c>
      <c r="T18" s="75"/>
    </row>
    <row r="19" spans="1:20" ht="15.75" thickBot="1" x14ac:dyDescent="0.3">
      <c r="A19" s="71" t="s">
        <v>9</v>
      </c>
      <c r="B19" s="71">
        <v>1</v>
      </c>
      <c r="C19" s="84">
        <f>B19/10</f>
        <v>0.1</v>
      </c>
      <c r="D19" s="42"/>
      <c r="E19" s="35"/>
      <c r="F19" s="35"/>
      <c r="H19" s="79">
        <f t="shared" si="3"/>
        <v>2029</v>
      </c>
      <c r="I19" s="86">
        <f t="shared" si="2"/>
        <v>9.3806897670984268E-2</v>
      </c>
      <c r="J19" s="277">
        <f t="shared" si="4"/>
        <v>0.22</v>
      </c>
      <c r="K19" s="277">
        <f t="shared" si="5"/>
        <v>0.44</v>
      </c>
      <c r="L19" s="278">
        <f t="shared" si="6"/>
        <v>0</v>
      </c>
      <c r="M19" s="276">
        <f t="shared" si="0"/>
        <v>0.13</v>
      </c>
      <c r="N19" s="277">
        <f t="shared" si="0"/>
        <v>0.25</v>
      </c>
      <c r="O19" s="278">
        <f t="shared" si="0"/>
        <v>0</v>
      </c>
      <c r="P19" s="276">
        <f t="shared" si="7"/>
        <v>0.09</v>
      </c>
      <c r="Q19" s="279">
        <f t="shared" si="7"/>
        <v>0.19</v>
      </c>
      <c r="R19" s="278">
        <f t="shared" si="7"/>
        <v>0</v>
      </c>
      <c r="S19" s="109">
        <f t="shared" si="1"/>
        <v>86124</v>
      </c>
      <c r="T19" s="75"/>
    </row>
    <row r="20" spans="1:20" x14ac:dyDescent="0.25">
      <c r="A20" s="299" t="s">
        <v>200</v>
      </c>
      <c r="B20" s="426" t="s">
        <v>33</v>
      </c>
      <c r="C20" s="426"/>
      <c r="D20" s="42"/>
      <c r="E20" s="35"/>
      <c r="F20" s="35"/>
      <c r="H20" s="79">
        <f t="shared" si="3"/>
        <v>2030</v>
      </c>
      <c r="I20" s="86">
        <f t="shared" si="2"/>
        <v>0.10201044940351656</v>
      </c>
      <c r="J20" s="277">
        <f t="shared" si="4"/>
        <v>0.23</v>
      </c>
      <c r="K20" s="277">
        <f t="shared" si="5"/>
        <v>0.45</v>
      </c>
      <c r="L20" s="278">
        <f t="shared" si="6"/>
        <v>0</v>
      </c>
      <c r="M20" s="276">
        <f t="shared" si="0"/>
        <v>0.13</v>
      </c>
      <c r="N20" s="277">
        <f t="shared" si="0"/>
        <v>0.26</v>
      </c>
      <c r="O20" s="278">
        <f t="shared" si="0"/>
        <v>0</v>
      </c>
      <c r="P20" s="276">
        <f t="shared" si="7"/>
        <v>0.1</v>
      </c>
      <c r="Q20" s="279">
        <f t="shared" si="7"/>
        <v>0.19</v>
      </c>
      <c r="R20" s="278">
        <f t="shared" si="7"/>
        <v>0</v>
      </c>
      <c r="S20" s="109">
        <f t="shared" si="1"/>
        <v>86168</v>
      </c>
      <c r="T20" s="75"/>
    </row>
    <row r="21" spans="1:20" ht="15.75" thickBot="1" x14ac:dyDescent="0.3">
      <c r="A21" s="42"/>
      <c r="B21" s="42"/>
      <c r="C21" s="42"/>
      <c r="D21" s="42"/>
      <c r="E21" s="35"/>
      <c r="F21" s="35"/>
      <c r="H21" s="79">
        <f t="shared" si="3"/>
        <v>2031</v>
      </c>
      <c r="I21" s="86">
        <f t="shared" si="2"/>
        <v>0.11027552777404326</v>
      </c>
      <c r="J21" s="277">
        <f t="shared" si="4"/>
        <v>0.23</v>
      </c>
      <c r="K21" s="277">
        <f t="shared" si="5"/>
        <v>0.45</v>
      </c>
      <c r="L21" s="278">
        <f t="shared" si="6"/>
        <v>0</v>
      </c>
      <c r="M21" s="276">
        <f t="shared" si="0"/>
        <v>0.13</v>
      </c>
      <c r="N21" s="277">
        <f t="shared" si="0"/>
        <v>0.26</v>
      </c>
      <c r="O21" s="278">
        <f t="shared" si="0"/>
        <v>0</v>
      </c>
      <c r="P21" s="276">
        <f t="shared" si="7"/>
        <v>0.1</v>
      </c>
      <c r="Q21" s="279">
        <f t="shared" si="7"/>
        <v>0.19</v>
      </c>
      <c r="R21" s="278">
        <f t="shared" si="7"/>
        <v>0</v>
      </c>
      <c r="S21" s="109">
        <f t="shared" si="1"/>
        <v>86168</v>
      </c>
      <c r="T21" s="75"/>
    </row>
    <row r="22" spans="1:20" ht="18" thickBot="1" x14ac:dyDescent="0.3">
      <c r="A22" s="549" t="s">
        <v>201</v>
      </c>
      <c r="B22" s="550"/>
      <c r="C22" s="557"/>
      <c r="D22" s="35"/>
      <c r="E22" s="35"/>
      <c r="F22" s="35"/>
      <c r="H22" s="79">
        <f t="shared" si="3"/>
        <v>2032</v>
      </c>
      <c r="I22" s="86">
        <f t="shared" si="2"/>
        <v>0.11860259423234876</v>
      </c>
      <c r="J22" s="277">
        <f t="shared" si="4"/>
        <v>0.23</v>
      </c>
      <c r="K22" s="277">
        <f t="shared" si="5"/>
        <v>0.45</v>
      </c>
      <c r="L22" s="278">
        <f t="shared" si="6"/>
        <v>0</v>
      </c>
      <c r="M22" s="276">
        <f t="shared" si="0"/>
        <v>0.13</v>
      </c>
      <c r="N22" s="277">
        <f t="shared" si="0"/>
        <v>0.26</v>
      </c>
      <c r="O22" s="278">
        <f t="shared" si="0"/>
        <v>0</v>
      </c>
      <c r="P22" s="276">
        <f t="shared" si="7"/>
        <v>0.1</v>
      </c>
      <c r="Q22" s="279">
        <f t="shared" si="7"/>
        <v>0.19</v>
      </c>
      <c r="R22" s="278">
        <f t="shared" si="7"/>
        <v>0</v>
      </c>
      <c r="S22" s="109">
        <f t="shared" si="1"/>
        <v>86168</v>
      </c>
      <c r="T22" s="75"/>
    </row>
    <row r="23" spans="1:20" ht="15.75" thickBot="1" x14ac:dyDescent="0.3">
      <c r="A23" s="549" t="s">
        <v>35</v>
      </c>
      <c r="B23" s="550"/>
      <c r="C23" s="118">
        <v>0.56000000000000005</v>
      </c>
      <c r="D23" s="35"/>
      <c r="E23" s="35"/>
      <c r="F23" s="35"/>
      <c r="H23" s="79">
        <f t="shared" si="3"/>
        <v>2033</v>
      </c>
      <c r="I23" s="86">
        <f t="shared" si="2"/>
        <v>0.12699211368909125</v>
      </c>
      <c r="J23" s="277">
        <f t="shared" si="4"/>
        <v>0.23</v>
      </c>
      <c r="K23" s="277">
        <f t="shared" si="5"/>
        <v>0.46</v>
      </c>
      <c r="L23" s="278">
        <f t="shared" si="6"/>
        <v>0</v>
      </c>
      <c r="M23" s="276">
        <f t="shared" ref="M23:O47" si="8">ROUNDUP(J23*$C$23,2)</f>
        <v>0.13</v>
      </c>
      <c r="N23" s="277">
        <f t="shared" si="8"/>
        <v>0.26</v>
      </c>
      <c r="O23" s="278">
        <f t="shared" si="8"/>
        <v>0</v>
      </c>
      <c r="P23" s="276">
        <f>ABS(J23-M23)</f>
        <v>0.1</v>
      </c>
      <c r="Q23" s="279">
        <f>ABS(K23-N23)</f>
        <v>0.2</v>
      </c>
      <c r="R23" s="278">
        <f>ABS(L23-O23)</f>
        <v>0</v>
      </c>
      <c r="S23" s="109">
        <f t="shared" si="1"/>
        <v>90680</v>
      </c>
      <c r="T23" s="75"/>
    </row>
    <row r="24" spans="1:20" ht="15" customHeight="1" x14ac:dyDescent="0.25">
      <c r="A24" s="551"/>
      <c r="B24" s="551"/>
      <c r="C24" s="551"/>
      <c r="D24" s="551"/>
      <c r="E24" s="551"/>
      <c r="F24" s="551"/>
      <c r="H24" s="79">
        <f t="shared" si="3"/>
        <v>2034</v>
      </c>
      <c r="I24" s="86">
        <f t="shared" si="2"/>
        <v>0.13544455454175952</v>
      </c>
      <c r="J24" s="277">
        <f t="shared" si="4"/>
        <v>0.23</v>
      </c>
      <c r="K24" s="277">
        <f t="shared" si="5"/>
        <v>0.46</v>
      </c>
      <c r="L24" s="278">
        <f t="shared" si="6"/>
        <v>0</v>
      </c>
      <c r="M24" s="276">
        <f t="shared" si="8"/>
        <v>0.13</v>
      </c>
      <c r="N24" s="277">
        <f t="shared" si="8"/>
        <v>0.26</v>
      </c>
      <c r="O24" s="278">
        <f t="shared" si="8"/>
        <v>0</v>
      </c>
      <c r="P24" s="276">
        <f t="shared" ref="P24:R43" si="9">ABS(J24-M24)</f>
        <v>0.1</v>
      </c>
      <c r="Q24" s="279">
        <f t="shared" si="9"/>
        <v>0.2</v>
      </c>
      <c r="R24" s="278">
        <f t="shared" si="9"/>
        <v>0</v>
      </c>
      <c r="S24" s="109">
        <f t="shared" si="1"/>
        <v>90680</v>
      </c>
      <c r="T24" s="75"/>
    </row>
    <row r="25" spans="1:20" x14ac:dyDescent="0.25">
      <c r="A25" s="551"/>
      <c r="B25" s="551"/>
      <c r="C25" s="551"/>
      <c r="D25" s="551"/>
      <c r="E25" s="551"/>
      <c r="F25" s="551"/>
      <c r="H25" s="79">
        <f t="shared" si="3"/>
        <v>2035</v>
      </c>
      <c r="I25" s="86">
        <f t="shared" si="2"/>
        <v>0.14396038870082295</v>
      </c>
      <c r="J25" s="277">
        <f t="shared" si="4"/>
        <v>0.23</v>
      </c>
      <c r="K25" s="277">
        <f t="shared" si="5"/>
        <v>0.46</v>
      </c>
      <c r="L25" s="278">
        <f t="shared" si="6"/>
        <v>0</v>
      </c>
      <c r="M25" s="276">
        <f t="shared" si="8"/>
        <v>0.13</v>
      </c>
      <c r="N25" s="277">
        <f t="shared" si="8"/>
        <v>0.26</v>
      </c>
      <c r="O25" s="278">
        <f t="shared" si="8"/>
        <v>0</v>
      </c>
      <c r="P25" s="276">
        <f t="shared" si="9"/>
        <v>0.1</v>
      </c>
      <c r="Q25" s="279">
        <f t="shared" si="9"/>
        <v>0.2</v>
      </c>
      <c r="R25" s="278">
        <f t="shared" si="9"/>
        <v>0</v>
      </c>
      <c r="S25" s="109">
        <f t="shared" si="1"/>
        <v>90680</v>
      </c>
      <c r="T25" s="75"/>
    </row>
    <row r="26" spans="1:20" x14ac:dyDescent="0.25">
      <c r="A26" s="551" t="s">
        <v>203</v>
      </c>
      <c r="B26" s="551"/>
      <c r="C26" s="551"/>
      <c r="D26" s="551"/>
      <c r="E26" s="551"/>
      <c r="F26" s="551"/>
      <c r="H26" s="79">
        <f t="shared" si="3"/>
        <v>2036</v>
      </c>
      <c r="I26" s="86">
        <f t="shared" si="2"/>
        <v>0.15254009161607907</v>
      </c>
      <c r="J26" s="277">
        <f t="shared" si="4"/>
        <v>0.24000000000000002</v>
      </c>
      <c r="K26" s="277">
        <f t="shared" si="5"/>
        <v>0.47000000000000003</v>
      </c>
      <c r="L26" s="278">
        <f t="shared" si="6"/>
        <v>0</v>
      </c>
      <c r="M26" s="276">
        <f t="shared" si="8"/>
        <v>0.14000000000000001</v>
      </c>
      <c r="N26" s="277">
        <f t="shared" si="8"/>
        <v>0.27</v>
      </c>
      <c r="O26" s="278">
        <f t="shared" si="8"/>
        <v>0</v>
      </c>
      <c r="P26" s="276">
        <f t="shared" si="9"/>
        <v>0.1</v>
      </c>
      <c r="Q26" s="279">
        <f t="shared" si="9"/>
        <v>0.2</v>
      </c>
      <c r="R26" s="278">
        <f t="shared" si="9"/>
        <v>0</v>
      </c>
      <c r="S26" s="109">
        <f t="shared" si="1"/>
        <v>90680</v>
      </c>
      <c r="T26" s="75"/>
    </row>
    <row r="27" spans="1:20" x14ac:dyDescent="0.25">
      <c r="E27" s="35"/>
      <c r="F27" s="35"/>
      <c r="H27" s="79">
        <f t="shared" si="3"/>
        <v>2037</v>
      </c>
      <c r="I27" s="86">
        <f t="shared" si="2"/>
        <v>0.16118414230319988</v>
      </c>
      <c r="J27" s="277">
        <f t="shared" si="4"/>
        <v>0.24000000000000002</v>
      </c>
      <c r="K27" s="277">
        <f t="shared" si="5"/>
        <v>0.47000000000000003</v>
      </c>
      <c r="L27" s="278">
        <f t="shared" si="6"/>
        <v>0</v>
      </c>
      <c r="M27" s="276">
        <f t="shared" si="8"/>
        <v>0.14000000000000001</v>
      </c>
      <c r="N27" s="277">
        <f t="shared" si="8"/>
        <v>0.27</v>
      </c>
      <c r="O27" s="278">
        <f t="shared" si="8"/>
        <v>0</v>
      </c>
      <c r="P27" s="276">
        <f t="shared" si="9"/>
        <v>0.1</v>
      </c>
      <c r="Q27" s="279">
        <f t="shared" si="9"/>
        <v>0.2</v>
      </c>
      <c r="R27" s="278">
        <f t="shared" si="9"/>
        <v>0</v>
      </c>
      <c r="S27" s="109">
        <f t="shared" si="1"/>
        <v>90680</v>
      </c>
      <c r="T27" s="75"/>
    </row>
    <row r="28" spans="1:20" x14ac:dyDescent="0.25">
      <c r="A28" s="267" t="s">
        <v>322</v>
      </c>
      <c r="D28" s="35"/>
      <c r="E28" s="35"/>
      <c r="F28" s="35"/>
      <c r="H28" s="79">
        <f t="shared" si="3"/>
        <v>2038</v>
      </c>
      <c r="I28" s="86">
        <f t="shared" si="2"/>
        <v>0.16989302337047385</v>
      </c>
      <c r="J28" s="277">
        <f t="shared" si="4"/>
        <v>0.24000000000000002</v>
      </c>
      <c r="K28" s="277">
        <f t="shared" si="5"/>
        <v>0.47000000000000003</v>
      </c>
      <c r="L28" s="278">
        <f t="shared" si="6"/>
        <v>0</v>
      </c>
      <c r="M28" s="276">
        <f t="shared" si="8"/>
        <v>0.14000000000000001</v>
      </c>
      <c r="N28" s="277">
        <f t="shared" si="8"/>
        <v>0.27</v>
      </c>
      <c r="O28" s="278">
        <f t="shared" si="8"/>
        <v>0</v>
      </c>
      <c r="P28" s="276">
        <f t="shared" si="9"/>
        <v>0.1</v>
      </c>
      <c r="Q28" s="279">
        <f t="shared" si="9"/>
        <v>0.2</v>
      </c>
      <c r="R28" s="278">
        <f t="shared" si="9"/>
        <v>0</v>
      </c>
      <c r="S28" s="109">
        <f t="shared" si="1"/>
        <v>90680</v>
      </c>
      <c r="T28" s="75"/>
    </row>
    <row r="29" spans="1:20" x14ac:dyDescent="0.25">
      <c r="D29" s="35"/>
      <c r="E29" s="35"/>
      <c r="F29" s="35"/>
      <c r="H29" s="79">
        <f t="shared" si="3"/>
        <v>2039</v>
      </c>
      <c r="I29" s="86">
        <f t="shared" si="2"/>
        <v>0.17866722104575272</v>
      </c>
      <c r="J29" s="277">
        <f t="shared" si="4"/>
        <v>0.24000000000000002</v>
      </c>
      <c r="K29" s="277">
        <f t="shared" si="5"/>
        <v>0.48</v>
      </c>
      <c r="L29" s="278">
        <f t="shared" si="6"/>
        <v>0</v>
      </c>
      <c r="M29" s="276">
        <f t="shared" si="8"/>
        <v>0.14000000000000001</v>
      </c>
      <c r="N29" s="277">
        <f t="shared" si="8"/>
        <v>0.27</v>
      </c>
      <c r="O29" s="278">
        <f t="shared" si="8"/>
        <v>0</v>
      </c>
      <c r="P29" s="276">
        <f t="shared" si="9"/>
        <v>0.1</v>
      </c>
      <c r="Q29" s="279">
        <f t="shared" si="9"/>
        <v>0.20999999999999996</v>
      </c>
      <c r="R29" s="278">
        <f t="shared" si="9"/>
        <v>0</v>
      </c>
      <c r="S29" s="109">
        <f t="shared" si="1"/>
        <v>95191.999999999985</v>
      </c>
      <c r="T29" s="75"/>
    </row>
    <row r="30" spans="1:20" x14ac:dyDescent="0.25">
      <c r="D30" s="35"/>
      <c r="E30" s="35"/>
      <c r="F30" s="35"/>
      <c r="H30" s="79">
        <f t="shared" si="3"/>
        <v>2040</v>
      </c>
      <c r="I30" s="86">
        <f t="shared" si="2"/>
        <v>0.18750722520359586</v>
      </c>
      <c r="J30" s="277">
        <f t="shared" si="4"/>
        <v>0.24000000000000002</v>
      </c>
      <c r="K30" s="277">
        <f t="shared" si="5"/>
        <v>0.48</v>
      </c>
      <c r="L30" s="278">
        <f t="shared" si="6"/>
        <v>0</v>
      </c>
      <c r="M30" s="276">
        <f t="shared" si="8"/>
        <v>0.14000000000000001</v>
      </c>
      <c r="N30" s="277">
        <f t="shared" si="8"/>
        <v>0.27</v>
      </c>
      <c r="O30" s="278">
        <f t="shared" si="8"/>
        <v>0</v>
      </c>
      <c r="P30" s="276">
        <f t="shared" si="9"/>
        <v>0.1</v>
      </c>
      <c r="Q30" s="279">
        <f t="shared" si="9"/>
        <v>0.20999999999999996</v>
      </c>
      <c r="R30" s="278">
        <f t="shared" si="9"/>
        <v>0</v>
      </c>
      <c r="S30" s="109">
        <f t="shared" si="1"/>
        <v>95191.999999999985</v>
      </c>
      <c r="T30" s="75"/>
    </row>
    <row r="31" spans="1:20" ht="15" customHeight="1" x14ac:dyDescent="0.25">
      <c r="D31" s="35"/>
      <c r="E31" s="35"/>
      <c r="F31" s="35"/>
      <c r="G31" s="35"/>
      <c r="H31" s="79">
        <f t="shared" si="3"/>
        <v>2041</v>
      </c>
      <c r="I31" s="86">
        <f t="shared" si="2"/>
        <v>0.1964135293926228</v>
      </c>
      <c r="J31" s="277">
        <f t="shared" si="4"/>
        <v>0.24000000000000002</v>
      </c>
      <c r="K31" s="277">
        <f t="shared" si="5"/>
        <v>0.48</v>
      </c>
      <c r="L31" s="278">
        <f t="shared" si="6"/>
        <v>0</v>
      </c>
      <c r="M31" s="276">
        <f t="shared" si="8"/>
        <v>0.14000000000000001</v>
      </c>
      <c r="N31" s="277">
        <f t="shared" si="8"/>
        <v>0.27</v>
      </c>
      <c r="O31" s="278">
        <f t="shared" si="8"/>
        <v>0</v>
      </c>
      <c r="P31" s="276">
        <f t="shared" si="9"/>
        <v>0.1</v>
      </c>
      <c r="Q31" s="279">
        <f t="shared" si="9"/>
        <v>0.20999999999999996</v>
      </c>
      <c r="R31" s="278">
        <f t="shared" si="9"/>
        <v>0</v>
      </c>
      <c r="S31" s="109">
        <f t="shared" si="1"/>
        <v>95191.999999999985</v>
      </c>
      <c r="T31" s="75"/>
    </row>
    <row r="32" spans="1:20" x14ac:dyDescent="0.25">
      <c r="F32" s="35"/>
      <c r="G32" s="35"/>
      <c r="H32" s="79">
        <f t="shared" si="3"/>
        <v>2042</v>
      </c>
      <c r="I32" s="86">
        <f t="shared" si="2"/>
        <v>0.20538663086306763</v>
      </c>
      <c r="J32" s="277">
        <f t="shared" si="4"/>
        <v>0.25</v>
      </c>
      <c r="K32" s="277">
        <f t="shared" si="5"/>
        <v>0.49</v>
      </c>
      <c r="L32" s="278">
        <f t="shared" si="6"/>
        <v>0</v>
      </c>
      <c r="M32" s="276">
        <f t="shared" si="8"/>
        <v>0.14000000000000001</v>
      </c>
      <c r="N32" s="277">
        <f t="shared" si="8"/>
        <v>0.28000000000000003</v>
      </c>
      <c r="O32" s="278">
        <f t="shared" si="8"/>
        <v>0</v>
      </c>
      <c r="P32" s="276">
        <f t="shared" si="9"/>
        <v>0.10999999999999999</v>
      </c>
      <c r="Q32" s="279">
        <f t="shared" si="9"/>
        <v>0.20999999999999996</v>
      </c>
      <c r="R32" s="278">
        <f t="shared" si="9"/>
        <v>0</v>
      </c>
      <c r="S32" s="109">
        <f t="shared" si="1"/>
        <v>95235.999999999985</v>
      </c>
      <c r="T32" s="75"/>
    </row>
    <row r="33" spans="1:26" x14ac:dyDescent="0.25">
      <c r="F33" s="35"/>
      <c r="G33" s="35"/>
      <c r="H33" s="79">
        <f t="shared" si="3"/>
        <v>2043</v>
      </c>
      <c r="I33" s="86">
        <f t="shared" si="2"/>
        <v>0.21442703059454082</v>
      </c>
      <c r="J33" s="277">
        <f t="shared" si="4"/>
        <v>0.25</v>
      </c>
      <c r="K33" s="277">
        <f t="shared" si="5"/>
        <v>0.49</v>
      </c>
      <c r="L33" s="278">
        <f t="shared" si="6"/>
        <v>0</v>
      </c>
      <c r="M33" s="276">
        <f t="shared" si="8"/>
        <v>0.14000000000000001</v>
      </c>
      <c r="N33" s="277">
        <f t="shared" si="8"/>
        <v>0.28000000000000003</v>
      </c>
      <c r="O33" s="278">
        <f t="shared" si="8"/>
        <v>0</v>
      </c>
      <c r="P33" s="276">
        <f t="shared" si="9"/>
        <v>0.10999999999999999</v>
      </c>
      <c r="Q33" s="279">
        <f t="shared" si="9"/>
        <v>0.20999999999999996</v>
      </c>
      <c r="R33" s="278">
        <f t="shared" si="9"/>
        <v>0</v>
      </c>
      <c r="S33" s="109">
        <f t="shared" si="1"/>
        <v>95235.999999999985</v>
      </c>
      <c r="T33" s="75"/>
    </row>
    <row r="34" spans="1:26" x14ac:dyDescent="0.25">
      <c r="F34" s="35"/>
      <c r="G34" s="35"/>
      <c r="H34" s="79">
        <f t="shared" si="3"/>
        <v>2044</v>
      </c>
      <c r="I34" s="86">
        <f t="shared" si="2"/>
        <v>0.22353523332399994</v>
      </c>
      <c r="J34" s="277">
        <f t="shared" si="4"/>
        <v>0.25</v>
      </c>
      <c r="K34" s="277">
        <f t="shared" si="5"/>
        <v>0.49</v>
      </c>
      <c r="L34" s="278">
        <f t="shared" si="6"/>
        <v>0</v>
      </c>
      <c r="M34" s="276">
        <f t="shared" si="8"/>
        <v>0.14000000000000001</v>
      </c>
      <c r="N34" s="277">
        <f t="shared" si="8"/>
        <v>0.28000000000000003</v>
      </c>
      <c r="O34" s="278">
        <f t="shared" si="8"/>
        <v>0</v>
      </c>
      <c r="P34" s="276">
        <f t="shared" si="9"/>
        <v>0.10999999999999999</v>
      </c>
      <c r="Q34" s="279">
        <f t="shared" si="9"/>
        <v>0.20999999999999996</v>
      </c>
      <c r="R34" s="278">
        <f t="shared" si="9"/>
        <v>0</v>
      </c>
      <c r="S34" s="109">
        <f t="shared" si="1"/>
        <v>95235.999999999985</v>
      </c>
      <c r="T34" s="75"/>
    </row>
    <row r="35" spans="1:26" x14ac:dyDescent="0.25">
      <c r="F35" s="35"/>
      <c r="G35" s="35"/>
      <c r="H35" s="79">
        <f t="shared" si="3"/>
        <v>2045</v>
      </c>
      <c r="I35" s="86">
        <f t="shared" si="2"/>
        <v>0.23271174757393021</v>
      </c>
      <c r="J35" s="277">
        <f t="shared" si="4"/>
        <v>0.25</v>
      </c>
      <c r="K35" s="277">
        <f t="shared" si="5"/>
        <v>0.5</v>
      </c>
      <c r="L35" s="278">
        <f t="shared" si="6"/>
        <v>0</v>
      </c>
      <c r="M35" s="276">
        <f t="shared" si="8"/>
        <v>0.14000000000000001</v>
      </c>
      <c r="N35" s="277">
        <f t="shared" si="8"/>
        <v>0.28000000000000003</v>
      </c>
      <c r="O35" s="278">
        <f t="shared" si="8"/>
        <v>0</v>
      </c>
      <c r="P35" s="276">
        <f t="shared" si="9"/>
        <v>0.10999999999999999</v>
      </c>
      <c r="Q35" s="279">
        <f t="shared" si="9"/>
        <v>0.21999999999999997</v>
      </c>
      <c r="R35" s="278">
        <f t="shared" si="9"/>
        <v>0</v>
      </c>
      <c r="S35" s="109">
        <f t="shared" si="1"/>
        <v>99747.999999999985</v>
      </c>
      <c r="T35" s="75"/>
    </row>
    <row r="36" spans="1:26" ht="15" customHeight="1" x14ac:dyDescent="0.25">
      <c r="F36" s="35"/>
      <c r="G36" s="35"/>
      <c r="H36" s="79">
        <f t="shared" si="3"/>
        <v>2046</v>
      </c>
      <c r="I36" s="86">
        <f t="shared" si="2"/>
        <v>0.24195708568073448</v>
      </c>
      <c r="J36" s="277">
        <f t="shared" si="4"/>
        <v>0.25</v>
      </c>
      <c r="K36" s="277">
        <f t="shared" si="5"/>
        <v>0.5</v>
      </c>
      <c r="L36" s="278">
        <f t="shared" si="6"/>
        <v>0</v>
      </c>
      <c r="M36" s="276">
        <f t="shared" si="8"/>
        <v>0.14000000000000001</v>
      </c>
      <c r="N36" s="277">
        <f t="shared" si="8"/>
        <v>0.28000000000000003</v>
      </c>
      <c r="O36" s="278">
        <f t="shared" si="8"/>
        <v>0</v>
      </c>
      <c r="P36" s="276">
        <f t="shared" si="9"/>
        <v>0.10999999999999999</v>
      </c>
      <c r="Q36" s="279">
        <f t="shared" si="9"/>
        <v>0.21999999999999997</v>
      </c>
      <c r="R36" s="278">
        <f t="shared" si="9"/>
        <v>0</v>
      </c>
      <c r="S36" s="109">
        <f t="shared" si="1"/>
        <v>99747.999999999985</v>
      </c>
      <c r="T36" s="75"/>
    </row>
    <row r="37" spans="1:26" x14ac:dyDescent="0.25">
      <c r="F37" s="35"/>
      <c r="G37" s="35"/>
      <c r="H37" s="79">
        <f t="shared" si="3"/>
        <v>2047</v>
      </c>
      <c r="I37" s="86">
        <f t="shared" si="2"/>
        <v>0.25127176382334038</v>
      </c>
      <c r="J37" s="277">
        <f t="shared" si="4"/>
        <v>0.26</v>
      </c>
      <c r="K37" s="277">
        <f t="shared" si="5"/>
        <v>0.51</v>
      </c>
      <c r="L37" s="278">
        <f t="shared" si="6"/>
        <v>0</v>
      </c>
      <c r="M37" s="276">
        <f t="shared" si="8"/>
        <v>0.15000000000000002</v>
      </c>
      <c r="N37" s="277">
        <f t="shared" si="8"/>
        <v>0.29000000000000004</v>
      </c>
      <c r="O37" s="278">
        <f t="shared" si="8"/>
        <v>0</v>
      </c>
      <c r="P37" s="276">
        <f t="shared" si="9"/>
        <v>0.10999999999999999</v>
      </c>
      <c r="Q37" s="279">
        <f t="shared" si="9"/>
        <v>0.21999999999999997</v>
      </c>
      <c r="R37" s="278">
        <f t="shared" si="9"/>
        <v>0</v>
      </c>
      <c r="S37" s="112">
        <f t="shared" si="1"/>
        <v>99747.999999999985</v>
      </c>
      <c r="T37" s="75"/>
    </row>
    <row r="38" spans="1:26" x14ac:dyDescent="0.25">
      <c r="F38" s="35"/>
      <c r="G38" s="35"/>
      <c r="H38" s="79">
        <f t="shared" si="3"/>
        <v>2048</v>
      </c>
      <c r="I38" s="86">
        <f t="shared" si="2"/>
        <v>0.26065630205201562</v>
      </c>
      <c r="J38" s="277">
        <f t="shared" si="4"/>
        <v>0.26</v>
      </c>
      <c r="K38" s="277">
        <f t="shared" si="5"/>
        <v>0.51</v>
      </c>
      <c r="L38" s="278">
        <f t="shared" si="6"/>
        <v>0</v>
      </c>
      <c r="M38" s="276">
        <f t="shared" si="8"/>
        <v>0.15000000000000002</v>
      </c>
      <c r="N38" s="277">
        <f t="shared" si="8"/>
        <v>0.29000000000000004</v>
      </c>
      <c r="O38" s="278">
        <f t="shared" si="8"/>
        <v>0</v>
      </c>
      <c r="P38" s="276">
        <f t="shared" si="9"/>
        <v>0.10999999999999999</v>
      </c>
      <c r="Q38" s="279">
        <f t="shared" si="9"/>
        <v>0.21999999999999997</v>
      </c>
      <c r="R38" s="278">
        <f t="shared" si="9"/>
        <v>0</v>
      </c>
      <c r="S38" s="113">
        <f t="shared" si="1"/>
        <v>99747.999999999985</v>
      </c>
      <c r="T38" s="75"/>
    </row>
    <row r="39" spans="1:26" x14ac:dyDescent="0.25">
      <c r="A39" s="44"/>
      <c r="B39" s="44"/>
      <c r="C39" s="44"/>
      <c r="F39" s="35"/>
      <c r="G39" s="35"/>
      <c r="H39" s="79">
        <f t="shared" si="3"/>
        <v>2049</v>
      </c>
      <c r="I39" s="86">
        <f t="shared" si="2"/>
        <v>0.27011122431740553</v>
      </c>
      <c r="J39" s="277">
        <f t="shared" si="4"/>
        <v>0.26</v>
      </c>
      <c r="K39" s="277">
        <f t="shared" si="5"/>
        <v>0.51</v>
      </c>
      <c r="L39" s="278">
        <f t="shared" si="6"/>
        <v>0</v>
      </c>
      <c r="M39" s="276">
        <f t="shared" si="8"/>
        <v>0.15000000000000002</v>
      </c>
      <c r="N39" s="277">
        <f t="shared" si="8"/>
        <v>0.29000000000000004</v>
      </c>
      <c r="O39" s="278">
        <f t="shared" si="8"/>
        <v>0</v>
      </c>
      <c r="P39" s="276">
        <f t="shared" si="9"/>
        <v>0.10999999999999999</v>
      </c>
      <c r="Q39" s="279">
        <f t="shared" si="9"/>
        <v>0.21999999999999997</v>
      </c>
      <c r="R39" s="278">
        <f t="shared" si="9"/>
        <v>0</v>
      </c>
      <c r="S39" s="109">
        <f t="shared" si="1"/>
        <v>99747.999999999985</v>
      </c>
      <c r="T39" s="75"/>
    </row>
    <row r="40" spans="1:26" x14ac:dyDescent="0.25">
      <c r="A40" s="126"/>
      <c r="B40" s="126"/>
      <c r="C40" s="126"/>
      <c r="F40" s="35"/>
      <c r="G40" s="35"/>
      <c r="H40" s="79">
        <f t="shared" si="3"/>
        <v>2050</v>
      </c>
      <c r="I40" s="86">
        <f t="shared" si="2"/>
        <v>0.27963705849978604</v>
      </c>
      <c r="J40" s="277">
        <f t="shared" si="4"/>
        <v>0.26</v>
      </c>
      <c r="K40" s="277">
        <f t="shared" si="5"/>
        <v>0.52</v>
      </c>
      <c r="L40" s="278">
        <f t="shared" si="6"/>
        <v>0</v>
      </c>
      <c r="M40" s="276">
        <f t="shared" si="8"/>
        <v>0.15000000000000002</v>
      </c>
      <c r="N40" s="277">
        <f t="shared" si="8"/>
        <v>0.3</v>
      </c>
      <c r="O40" s="278">
        <f t="shared" si="8"/>
        <v>0</v>
      </c>
      <c r="P40" s="276">
        <f t="shared" si="9"/>
        <v>0.10999999999999999</v>
      </c>
      <c r="Q40" s="279">
        <f t="shared" si="9"/>
        <v>0.22000000000000003</v>
      </c>
      <c r="R40" s="278">
        <f t="shared" si="9"/>
        <v>0</v>
      </c>
      <c r="S40" s="109">
        <f t="shared" si="1"/>
        <v>99748.000000000015</v>
      </c>
      <c r="T40" s="75"/>
    </row>
    <row r="41" spans="1:26" ht="15.75" customHeight="1" x14ac:dyDescent="0.35">
      <c r="A41" s="35" t="s">
        <v>111</v>
      </c>
      <c r="B41" s="425"/>
      <c r="C41" s="425"/>
      <c r="F41" s="35"/>
      <c r="G41" s="35"/>
      <c r="H41" s="79">
        <f t="shared" si="3"/>
        <v>2051</v>
      </c>
      <c r="I41" s="86">
        <f t="shared" si="2"/>
        <v>0.2892343364385348</v>
      </c>
      <c r="J41" s="277">
        <f t="shared" si="4"/>
        <v>0.26</v>
      </c>
      <c r="K41" s="277">
        <f t="shared" si="5"/>
        <v>0.52</v>
      </c>
      <c r="L41" s="278">
        <f t="shared" si="6"/>
        <v>0</v>
      </c>
      <c r="M41" s="276">
        <f t="shared" si="8"/>
        <v>0.15000000000000002</v>
      </c>
      <c r="N41" s="277">
        <f t="shared" si="8"/>
        <v>0.3</v>
      </c>
      <c r="O41" s="278">
        <f t="shared" si="8"/>
        <v>0</v>
      </c>
      <c r="P41" s="276">
        <f t="shared" si="9"/>
        <v>0.10999999999999999</v>
      </c>
      <c r="Q41" s="279">
        <f t="shared" si="9"/>
        <v>0.22000000000000003</v>
      </c>
      <c r="R41" s="278">
        <f t="shared" si="9"/>
        <v>0</v>
      </c>
      <c r="S41" s="109">
        <f t="shared" si="1"/>
        <v>99748.000000000015</v>
      </c>
      <c r="T41" s="94"/>
      <c r="U41" s="94"/>
      <c r="V41" s="94"/>
      <c r="W41" s="94"/>
      <c r="X41" s="94"/>
      <c r="Y41" s="94"/>
      <c r="Z41" s="94"/>
    </row>
    <row r="42" spans="1:26" x14ac:dyDescent="0.25">
      <c r="A42" s="191" t="s">
        <v>36</v>
      </c>
      <c r="B42" s="300" t="s">
        <v>112</v>
      </c>
      <c r="C42" s="189">
        <v>7.4999999999999997E-3</v>
      </c>
      <c r="D42" s="267" t="s">
        <v>113</v>
      </c>
      <c r="F42" s="35"/>
      <c r="G42" s="35"/>
      <c r="H42" s="79">
        <f t="shared" si="3"/>
        <v>2052</v>
      </c>
      <c r="I42" s="86">
        <f t="shared" si="2"/>
        <v>0.29890359396182387</v>
      </c>
      <c r="J42" s="277">
        <f t="shared" si="4"/>
        <v>0.26</v>
      </c>
      <c r="K42" s="277">
        <f t="shared" si="5"/>
        <v>0.52</v>
      </c>
      <c r="L42" s="278">
        <f t="shared" si="6"/>
        <v>0</v>
      </c>
      <c r="M42" s="276">
        <f t="shared" si="8"/>
        <v>0.15000000000000002</v>
      </c>
      <c r="N42" s="277">
        <f t="shared" si="8"/>
        <v>0.3</v>
      </c>
      <c r="O42" s="278">
        <f t="shared" si="8"/>
        <v>0</v>
      </c>
      <c r="P42" s="276">
        <f t="shared" si="9"/>
        <v>0.10999999999999999</v>
      </c>
      <c r="Q42" s="279">
        <f t="shared" si="9"/>
        <v>0.22000000000000003</v>
      </c>
      <c r="R42" s="278">
        <f t="shared" si="9"/>
        <v>0</v>
      </c>
      <c r="S42" s="109">
        <f t="shared" si="1"/>
        <v>99748.000000000015</v>
      </c>
      <c r="T42" s="94"/>
      <c r="U42" s="94"/>
      <c r="V42" s="94"/>
      <c r="W42" s="94"/>
      <c r="X42" s="94"/>
      <c r="Y42" s="94"/>
      <c r="Z42" s="94"/>
    </row>
    <row r="43" spans="1:26" x14ac:dyDescent="0.25">
      <c r="A43" s="192" t="s">
        <v>37</v>
      </c>
      <c r="B43" s="267" t="s">
        <v>116</v>
      </c>
      <c r="F43" s="35"/>
      <c r="G43" s="35"/>
      <c r="H43" s="79">
        <f t="shared" si="3"/>
        <v>2053</v>
      </c>
      <c r="I43" s="86">
        <f t="shared" si="2"/>
        <v>0.30864537091653754</v>
      </c>
      <c r="J43" s="277">
        <f t="shared" si="4"/>
        <v>0.27</v>
      </c>
      <c r="K43" s="277">
        <f t="shared" si="5"/>
        <v>0.53</v>
      </c>
      <c r="L43" s="278">
        <f t="shared" si="6"/>
        <v>0</v>
      </c>
      <c r="M43" s="276">
        <f t="shared" si="8"/>
        <v>0.16</v>
      </c>
      <c r="N43" s="277">
        <f t="shared" si="8"/>
        <v>0.3</v>
      </c>
      <c r="O43" s="278">
        <f t="shared" si="8"/>
        <v>0</v>
      </c>
      <c r="P43" s="276">
        <f t="shared" si="9"/>
        <v>0.11000000000000001</v>
      </c>
      <c r="Q43" s="279">
        <f t="shared" si="9"/>
        <v>0.23000000000000004</v>
      </c>
      <c r="R43" s="278">
        <f t="shared" si="9"/>
        <v>0</v>
      </c>
      <c r="S43" s="109">
        <f t="shared" si="1"/>
        <v>104260.00000000001</v>
      </c>
      <c r="T43" s="94"/>
      <c r="U43" s="94"/>
      <c r="V43" s="94"/>
      <c r="W43" s="94"/>
      <c r="X43" s="94"/>
      <c r="Y43" s="94"/>
      <c r="Z43" s="94"/>
    </row>
    <row r="44" spans="1:26" x14ac:dyDescent="0.25">
      <c r="A44" s="9"/>
      <c r="B44" s="43"/>
      <c r="C44" s="43"/>
      <c r="F44" s="35"/>
      <c r="G44" s="37"/>
      <c r="H44" s="79">
        <f t="shared" si="3"/>
        <v>2054</v>
      </c>
      <c r="I44" s="86">
        <f t="shared" si="2"/>
        <v>0.31846021119841161</v>
      </c>
      <c r="J44" s="277">
        <f t="shared" si="4"/>
        <v>0.27</v>
      </c>
      <c r="K44" s="277">
        <f t="shared" si="5"/>
        <v>0.53</v>
      </c>
      <c r="L44" s="278">
        <f t="shared" si="6"/>
        <v>0</v>
      </c>
      <c r="M44" s="276">
        <f t="shared" si="8"/>
        <v>0.16</v>
      </c>
      <c r="N44" s="277">
        <f t="shared" si="8"/>
        <v>0.3</v>
      </c>
      <c r="O44" s="278">
        <f t="shared" si="8"/>
        <v>0</v>
      </c>
      <c r="P44" s="276">
        <f t="shared" ref="P44:R47" si="10">ABS(J44-M44)</f>
        <v>0.11000000000000001</v>
      </c>
      <c r="Q44" s="279">
        <f t="shared" si="10"/>
        <v>0.23000000000000004</v>
      </c>
      <c r="R44" s="278">
        <f t="shared" si="10"/>
        <v>0</v>
      </c>
      <c r="S44" s="109">
        <f t="shared" si="1"/>
        <v>104260.00000000001</v>
      </c>
      <c r="T44" s="75"/>
    </row>
    <row r="45" spans="1:26" ht="15" customHeight="1" x14ac:dyDescent="0.25">
      <c r="A45" s="43"/>
      <c r="B45" s="43"/>
      <c r="C45" s="43"/>
      <c r="F45" s="35"/>
      <c r="G45" s="37"/>
      <c r="H45" s="79">
        <f t="shared" si="3"/>
        <v>2055</v>
      </c>
      <c r="I45" s="86">
        <f t="shared" si="2"/>
        <v>0.32834866278239994</v>
      </c>
      <c r="J45" s="277">
        <f t="shared" si="4"/>
        <v>0.27</v>
      </c>
      <c r="K45" s="277">
        <f t="shared" si="5"/>
        <v>0.54</v>
      </c>
      <c r="L45" s="278">
        <f t="shared" si="6"/>
        <v>0</v>
      </c>
      <c r="M45" s="276">
        <f t="shared" si="8"/>
        <v>0.16</v>
      </c>
      <c r="N45" s="277">
        <f t="shared" si="8"/>
        <v>0.31</v>
      </c>
      <c r="O45" s="278">
        <f t="shared" si="8"/>
        <v>0</v>
      </c>
      <c r="P45" s="276">
        <f t="shared" si="10"/>
        <v>0.11000000000000001</v>
      </c>
      <c r="Q45" s="279">
        <f t="shared" si="10"/>
        <v>0.23000000000000004</v>
      </c>
      <c r="R45" s="278">
        <f t="shared" si="10"/>
        <v>0</v>
      </c>
      <c r="S45" s="109">
        <f t="shared" si="1"/>
        <v>104260.00000000001</v>
      </c>
      <c r="T45" s="75"/>
    </row>
    <row r="46" spans="1:26" x14ac:dyDescent="0.25">
      <c r="A46" s="9"/>
      <c r="B46" s="43"/>
      <c r="C46" s="43"/>
      <c r="F46" s="35"/>
      <c r="G46" s="37"/>
      <c r="H46" s="79">
        <f t="shared" si="3"/>
        <v>2056</v>
      </c>
      <c r="I46" s="86">
        <f t="shared" si="2"/>
        <v>0.33831127775326819</v>
      </c>
      <c r="J46" s="277">
        <f t="shared" si="4"/>
        <v>0.27</v>
      </c>
      <c r="K46" s="277">
        <f t="shared" si="5"/>
        <v>0.54</v>
      </c>
      <c r="L46" s="278">
        <f t="shared" si="6"/>
        <v>0</v>
      </c>
      <c r="M46" s="276">
        <f t="shared" si="8"/>
        <v>0.16</v>
      </c>
      <c r="N46" s="277">
        <f t="shared" si="8"/>
        <v>0.31</v>
      </c>
      <c r="O46" s="278">
        <f t="shared" si="8"/>
        <v>0</v>
      </c>
      <c r="P46" s="276">
        <f t="shared" si="10"/>
        <v>0.11000000000000001</v>
      </c>
      <c r="Q46" s="279">
        <f t="shared" si="10"/>
        <v>0.23000000000000004</v>
      </c>
      <c r="R46" s="278">
        <f t="shared" si="10"/>
        <v>0</v>
      </c>
      <c r="S46" s="109">
        <f t="shared" si="1"/>
        <v>104260.00000000001</v>
      </c>
      <c r="T46" s="75"/>
    </row>
    <row r="47" spans="1:26" ht="15.75" thickBot="1" x14ac:dyDescent="0.3">
      <c r="A47" s="43"/>
      <c r="B47" s="43"/>
      <c r="C47" s="43"/>
      <c r="F47" s="35"/>
      <c r="G47" s="37"/>
      <c r="H47" s="80">
        <f t="shared" si="3"/>
        <v>2057</v>
      </c>
      <c r="I47" s="377">
        <f t="shared" si="2"/>
        <v>0.34834861233641767</v>
      </c>
      <c r="J47" s="378">
        <f t="shared" si="4"/>
        <v>0.27</v>
      </c>
      <c r="K47" s="378">
        <f t="shared" si="5"/>
        <v>0.54</v>
      </c>
      <c r="L47" s="379">
        <f t="shared" si="6"/>
        <v>0</v>
      </c>
      <c r="M47" s="380">
        <f t="shared" si="8"/>
        <v>0.16</v>
      </c>
      <c r="N47" s="378">
        <f t="shared" si="8"/>
        <v>0.31</v>
      </c>
      <c r="O47" s="379">
        <f t="shared" si="8"/>
        <v>0</v>
      </c>
      <c r="P47" s="380">
        <f t="shared" si="10"/>
        <v>0.11000000000000001</v>
      </c>
      <c r="Q47" s="381">
        <f t="shared" si="10"/>
        <v>0.23000000000000004</v>
      </c>
      <c r="R47" s="379">
        <f t="shared" si="10"/>
        <v>0</v>
      </c>
      <c r="S47" s="95">
        <f t="shared" si="1"/>
        <v>104260.00000000001</v>
      </c>
      <c r="T47" s="75"/>
    </row>
    <row r="48" spans="1:26" ht="15.75" thickBot="1" x14ac:dyDescent="0.3">
      <c r="A48" s="43"/>
      <c r="B48" s="43"/>
      <c r="C48" s="43"/>
      <c r="F48" s="35"/>
      <c r="G48" s="9"/>
      <c r="H48" s="97"/>
      <c r="I48" s="98"/>
      <c r="J48" s="97"/>
      <c r="K48" s="99"/>
      <c r="L48" s="99"/>
      <c r="M48" s="99"/>
      <c r="N48" s="99"/>
      <c r="O48" s="99"/>
      <c r="P48" s="9"/>
      <c r="R48" s="427" t="s">
        <v>10</v>
      </c>
      <c r="S48" s="95">
        <f>SUM(S7:S43)</f>
        <v>2534484</v>
      </c>
      <c r="T48" s="75"/>
    </row>
    <row r="49" spans="1:20" x14ac:dyDescent="0.25">
      <c r="A49" s="9"/>
      <c r="B49" s="43"/>
      <c r="C49" s="43"/>
      <c r="F49" s="35"/>
      <c r="G49" s="9"/>
      <c r="H49" s="97"/>
      <c r="I49" s="98"/>
      <c r="J49" s="97"/>
      <c r="K49" s="99"/>
      <c r="L49" s="99"/>
      <c r="M49" s="99"/>
      <c r="N49" s="99"/>
      <c r="O49" s="99"/>
      <c r="P49" s="9"/>
      <c r="T49" s="75"/>
    </row>
    <row r="50" spans="1:20" x14ac:dyDescent="0.25">
      <c r="A50" s="43"/>
      <c r="B50" s="43"/>
      <c r="C50" s="43"/>
      <c r="G50" s="9"/>
      <c r="T50" s="75"/>
    </row>
    <row r="51" spans="1:20" x14ac:dyDescent="0.25">
      <c r="A51" s="9"/>
      <c r="B51" s="43"/>
      <c r="C51" s="43"/>
      <c r="G51" s="9"/>
      <c r="T51" s="75"/>
    </row>
    <row r="52" spans="1:20" x14ac:dyDescent="0.25">
      <c r="A52" s="43"/>
      <c r="B52" s="43"/>
      <c r="C52" s="43"/>
      <c r="G52" s="9"/>
      <c r="H52" s="97"/>
      <c r="I52" s="98"/>
      <c r="J52" s="97"/>
      <c r="K52" s="99"/>
      <c r="L52" s="99"/>
      <c r="M52" s="99"/>
      <c r="N52" s="99"/>
      <c r="O52" s="99"/>
      <c r="P52" s="9"/>
      <c r="T52" s="75"/>
    </row>
    <row r="53" spans="1:20" x14ac:dyDescent="0.25">
      <c r="A53" s="9"/>
      <c r="B53" s="43"/>
      <c r="C53" s="43"/>
      <c r="G53" s="9"/>
      <c r="H53" s="97"/>
      <c r="I53" s="98"/>
      <c r="J53" s="97"/>
      <c r="K53" s="99"/>
      <c r="L53" s="99"/>
      <c r="M53" s="99"/>
      <c r="N53" s="99"/>
      <c r="O53" s="99"/>
      <c r="P53" s="9"/>
      <c r="T53" s="75"/>
    </row>
    <row r="54" spans="1:20" x14ac:dyDescent="0.25">
      <c r="A54" s="43"/>
      <c r="B54" s="43"/>
      <c r="C54" s="43"/>
      <c r="G54" s="9"/>
      <c r="J54" s="99"/>
      <c r="K54" s="99"/>
      <c r="L54" s="99"/>
      <c r="M54" s="99"/>
      <c r="N54" s="99"/>
      <c r="O54" s="99"/>
      <c r="P54" s="9"/>
      <c r="T54" s="75"/>
    </row>
    <row r="55" spans="1:20" x14ac:dyDescent="0.25">
      <c r="A55" s="9"/>
      <c r="B55" s="43"/>
      <c r="C55" s="43"/>
      <c r="G55" s="9"/>
      <c r="J55" s="97"/>
      <c r="K55" s="99"/>
      <c r="L55" s="99"/>
      <c r="M55" s="99"/>
      <c r="N55" s="99"/>
      <c r="O55" s="99"/>
      <c r="P55" s="9"/>
      <c r="T55" s="75"/>
    </row>
    <row r="56" spans="1:20" x14ac:dyDescent="0.25">
      <c r="A56" s="43"/>
      <c r="B56" s="43"/>
      <c r="C56" s="43"/>
      <c r="G56" s="9"/>
      <c r="J56" s="97"/>
      <c r="K56" s="99"/>
      <c r="L56" s="99"/>
      <c r="M56" s="99"/>
      <c r="N56" s="99"/>
      <c r="O56" s="99"/>
      <c r="P56" s="9"/>
      <c r="T56" s="75"/>
    </row>
    <row r="57" spans="1:20" x14ac:dyDescent="0.25">
      <c r="A57" s="43"/>
      <c r="B57" s="43"/>
      <c r="C57" s="43"/>
      <c r="G57" s="9"/>
      <c r="J57" s="97"/>
      <c r="K57" s="99"/>
      <c r="L57" s="99"/>
      <c r="M57" s="99"/>
      <c r="N57" s="99"/>
      <c r="O57" s="99"/>
      <c r="P57" s="9"/>
      <c r="T57" s="75"/>
    </row>
    <row r="58" spans="1:20" x14ac:dyDescent="0.25">
      <c r="A58" s="9"/>
      <c r="B58" s="43"/>
      <c r="C58" s="43"/>
      <c r="G58" s="9"/>
      <c r="J58" s="97"/>
      <c r="K58" s="99"/>
      <c r="L58" s="99"/>
      <c r="M58" s="99"/>
      <c r="N58" s="99"/>
      <c r="O58" s="99"/>
      <c r="P58" s="9"/>
      <c r="T58" s="75"/>
    </row>
    <row r="59" spans="1:20" x14ac:dyDescent="0.25">
      <c r="A59" s="43"/>
      <c r="B59" s="43"/>
      <c r="C59" s="43"/>
      <c r="G59" s="9"/>
      <c r="J59" s="97"/>
      <c r="K59" s="99"/>
      <c r="L59" s="99"/>
      <c r="M59" s="99"/>
      <c r="N59" s="99"/>
      <c r="O59" s="99"/>
      <c r="P59" s="9"/>
      <c r="T59" s="75"/>
    </row>
    <row r="60" spans="1:20" x14ac:dyDescent="0.25">
      <c r="A60" s="9"/>
      <c r="B60" s="43"/>
      <c r="C60" s="43"/>
      <c r="G60" s="9"/>
      <c r="J60" s="97"/>
      <c r="K60" s="99"/>
      <c r="L60" s="99"/>
      <c r="M60" s="99"/>
      <c r="N60" s="99"/>
      <c r="O60" s="99"/>
      <c r="P60" s="9"/>
      <c r="Q60" s="9"/>
      <c r="T60" s="75"/>
    </row>
    <row r="61" spans="1:20" x14ac:dyDescent="0.25">
      <c r="A61" s="43"/>
      <c r="B61" s="43"/>
      <c r="C61" s="43"/>
      <c r="G61" s="9"/>
      <c r="H61" s="97"/>
      <c r="I61" s="98"/>
      <c r="J61" s="97"/>
      <c r="K61" s="99"/>
      <c r="L61" s="99"/>
      <c r="M61" s="99"/>
      <c r="N61" s="99"/>
      <c r="O61" s="99"/>
      <c r="P61" s="9"/>
      <c r="T61" s="75"/>
    </row>
    <row r="62" spans="1:20" x14ac:dyDescent="0.25">
      <c r="A62" s="9"/>
      <c r="B62" s="43"/>
      <c r="C62" s="43"/>
      <c r="G62" s="9"/>
      <c r="H62" s="97"/>
      <c r="I62" s="100"/>
      <c r="J62" s="101"/>
      <c r="K62" s="101"/>
      <c r="L62" s="99"/>
      <c r="M62" s="99"/>
      <c r="N62" s="99"/>
      <c r="O62" s="99"/>
      <c r="P62" s="102"/>
      <c r="Q62" s="75"/>
      <c r="R62" s="75"/>
      <c r="S62" s="75"/>
      <c r="T62" s="75"/>
    </row>
    <row r="63" spans="1:20" ht="15" customHeight="1" x14ac:dyDescent="0.25">
      <c r="A63" s="43"/>
      <c r="B63" s="43"/>
      <c r="C63" s="43"/>
      <c r="G63" s="9"/>
      <c r="H63" s="97"/>
      <c r="I63" s="100"/>
      <c r="J63" s="97"/>
      <c r="K63" s="101"/>
      <c r="L63" s="99"/>
      <c r="M63" s="99"/>
      <c r="N63" s="99"/>
      <c r="O63" s="99"/>
      <c r="P63" s="103"/>
      <c r="Q63" s="35"/>
      <c r="R63" s="35"/>
      <c r="S63" s="35"/>
      <c r="T63" s="75"/>
    </row>
    <row r="64" spans="1:20" x14ac:dyDescent="0.25">
      <c r="A64" s="9"/>
      <c r="B64" s="43"/>
      <c r="C64" s="43"/>
      <c r="G64" s="9"/>
      <c r="H64" s="97"/>
      <c r="I64" s="100"/>
      <c r="J64" s="97"/>
      <c r="K64" s="101"/>
      <c r="L64" s="99"/>
      <c r="M64" s="99"/>
      <c r="N64" s="99"/>
      <c r="O64" s="99"/>
      <c r="P64" s="37"/>
      <c r="Q64" s="35"/>
      <c r="R64" s="35"/>
      <c r="S64" s="35"/>
      <c r="T64" s="75"/>
    </row>
    <row r="65" spans="1:20" x14ac:dyDescent="0.25">
      <c r="A65" s="9"/>
      <c r="B65" s="9"/>
      <c r="C65" s="9"/>
      <c r="G65" s="9"/>
      <c r="H65" s="97"/>
      <c r="I65" s="100"/>
      <c r="J65" s="97"/>
      <c r="K65" s="101"/>
      <c r="L65" s="99"/>
      <c r="M65" s="99"/>
      <c r="N65" s="99"/>
      <c r="O65" s="99"/>
      <c r="P65" s="37"/>
      <c r="Q65" s="35"/>
      <c r="R65" s="35"/>
      <c r="S65" s="35"/>
      <c r="T65" s="35"/>
    </row>
    <row r="66" spans="1:20" x14ac:dyDescent="0.25">
      <c r="A66" s="9"/>
      <c r="B66" s="9"/>
      <c r="C66" s="9"/>
      <c r="G66" s="9"/>
      <c r="H66" s="97"/>
      <c r="I66" s="100"/>
      <c r="J66" s="97"/>
      <c r="K66" s="101"/>
      <c r="L66" s="99"/>
      <c r="M66" s="99"/>
      <c r="N66" s="99"/>
      <c r="O66" s="99"/>
      <c r="P66" s="37"/>
      <c r="Q66" s="35"/>
      <c r="R66" s="35"/>
      <c r="S66" s="35"/>
      <c r="T66" s="35"/>
    </row>
    <row r="67" spans="1:20" x14ac:dyDescent="0.25">
      <c r="A67" s="9"/>
      <c r="B67" s="9"/>
      <c r="C67" s="9"/>
      <c r="G67" s="9"/>
      <c r="H67" s="97"/>
      <c r="I67" s="100"/>
      <c r="J67" s="97"/>
      <c r="K67" s="101"/>
      <c r="L67" s="99"/>
      <c r="M67" s="99"/>
      <c r="N67" s="99"/>
      <c r="O67" s="99"/>
      <c r="P67" s="37"/>
      <c r="Q67" s="35"/>
      <c r="R67" s="35"/>
      <c r="S67" s="35"/>
      <c r="T67" s="35"/>
    </row>
    <row r="68" spans="1:20" x14ac:dyDescent="0.25">
      <c r="A68" s="9"/>
      <c r="B68" s="9"/>
      <c r="C68" s="9"/>
      <c r="G68" s="9"/>
      <c r="H68" s="97"/>
      <c r="I68" s="100"/>
      <c r="J68" s="97"/>
      <c r="K68" s="101"/>
      <c r="L68" s="99"/>
      <c r="M68" s="99"/>
      <c r="N68" s="99"/>
      <c r="O68" s="99"/>
      <c r="P68" s="37"/>
      <c r="Q68" s="35"/>
      <c r="R68" s="35"/>
      <c r="S68" s="35"/>
      <c r="T68" s="35"/>
    </row>
    <row r="69" spans="1:20" x14ac:dyDescent="0.25">
      <c r="G69" s="9"/>
      <c r="H69" s="97"/>
      <c r="I69" s="100"/>
      <c r="J69" s="97"/>
      <c r="K69" s="101"/>
      <c r="L69" s="99"/>
      <c r="M69" s="99"/>
      <c r="N69" s="99"/>
      <c r="O69" s="99"/>
      <c r="P69" s="9"/>
      <c r="T69" s="35"/>
    </row>
    <row r="70" spans="1:20" x14ac:dyDescent="0.25">
      <c r="G70" s="9"/>
      <c r="H70" s="97"/>
      <c r="I70" s="100"/>
      <c r="J70" s="97"/>
      <c r="K70" s="101"/>
      <c r="L70" s="99"/>
      <c r="M70" s="99"/>
      <c r="N70" s="99"/>
      <c r="O70" s="99"/>
      <c r="P70" s="9"/>
      <c r="T70" s="35"/>
    </row>
    <row r="71" spans="1:20" x14ac:dyDescent="0.25">
      <c r="G71" s="9"/>
      <c r="H71" s="97"/>
      <c r="I71" s="100"/>
      <c r="J71" s="97"/>
      <c r="K71" s="101"/>
      <c r="L71" s="99"/>
      <c r="M71" s="99"/>
      <c r="N71" s="99"/>
      <c r="O71" s="99"/>
      <c r="P71" s="9"/>
      <c r="T71" s="35"/>
    </row>
    <row r="72" spans="1:20" x14ac:dyDescent="0.25">
      <c r="G72" s="9"/>
      <c r="H72" s="97"/>
      <c r="I72" s="100"/>
      <c r="J72" s="97"/>
      <c r="K72" s="101"/>
      <c r="L72" s="99"/>
      <c r="M72" s="99"/>
      <c r="N72" s="99"/>
      <c r="O72" s="99"/>
      <c r="P72" s="104"/>
      <c r="Q72" s="77"/>
      <c r="R72" s="75"/>
      <c r="S72" s="75"/>
      <c r="T72" s="35"/>
    </row>
    <row r="73" spans="1:20" x14ac:dyDescent="0.25">
      <c r="G73" s="9"/>
      <c r="H73" s="97"/>
      <c r="I73" s="100"/>
      <c r="J73" s="97"/>
      <c r="K73" s="101"/>
      <c r="L73" s="99"/>
      <c r="M73" s="99"/>
      <c r="N73" s="99"/>
      <c r="O73" s="99"/>
      <c r="P73" s="76"/>
      <c r="Q73" s="77"/>
      <c r="R73" s="75"/>
      <c r="S73" s="76"/>
      <c r="T73" s="35"/>
    </row>
    <row r="74" spans="1:20" x14ac:dyDescent="0.25">
      <c r="G74" s="9"/>
      <c r="H74" s="97"/>
      <c r="I74" s="100"/>
      <c r="J74" s="97"/>
      <c r="K74" s="101"/>
      <c r="L74" s="99"/>
      <c r="M74" s="99"/>
      <c r="N74" s="99"/>
      <c r="O74" s="99"/>
      <c r="P74" s="76"/>
      <c r="Q74" s="77"/>
      <c r="R74" s="75"/>
      <c r="S74" s="75"/>
      <c r="T74" s="35"/>
    </row>
    <row r="75" spans="1:20" x14ac:dyDescent="0.25">
      <c r="G75" s="9"/>
      <c r="H75" s="97"/>
      <c r="I75" s="100"/>
      <c r="J75" s="97"/>
      <c r="K75" s="101"/>
      <c r="L75" s="99"/>
      <c r="M75" s="99"/>
      <c r="N75" s="99"/>
      <c r="O75" s="99"/>
      <c r="P75" s="76"/>
      <c r="Q75" s="75"/>
      <c r="R75" s="75"/>
      <c r="S75" s="75"/>
      <c r="T75" s="35"/>
    </row>
    <row r="76" spans="1:20" x14ac:dyDescent="0.25">
      <c r="G76" s="9"/>
      <c r="H76" s="97"/>
      <c r="I76" s="100"/>
      <c r="J76" s="97"/>
      <c r="K76" s="101"/>
      <c r="L76" s="99"/>
      <c r="M76" s="99"/>
      <c r="N76" s="99"/>
      <c r="O76" s="99"/>
      <c r="P76" s="76"/>
      <c r="Q76" s="75"/>
      <c r="R76" s="75"/>
      <c r="S76" s="75"/>
    </row>
    <row r="77" spans="1:20" x14ac:dyDescent="0.25">
      <c r="G77" s="9"/>
      <c r="H77" s="105"/>
      <c r="I77" s="9"/>
      <c r="J77" s="9"/>
      <c r="K77" s="9"/>
      <c r="L77" s="9"/>
      <c r="M77" s="9"/>
      <c r="N77" s="9"/>
      <c r="O77" s="9"/>
      <c r="P77" s="76"/>
      <c r="Q77" s="75"/>
      <c r="R77" s="75"/>
      <c r="S77" s="75"/>
    </row>
    <row r="78" spans="1:20" x14ac:dyDescent="0.25">
      <c r="G78" s="9"/>
      <c r="H78" s="9"/>
      <c r="I78" s="9"/>
      <c r="J78" s="9"/>
      <c r="K78" s="9"/>
      <c r="L78" s="9"/>
      <c r="M78" s="9"/>
      <c r="N78" s="9"/>
      <c r="O78" s="9"/>
      <c r="P78" s="76"/>
      <c r="Q78" s="75"/>
      <c r="R78" s="75"/>
      <c r="S78" s="75"/>
    </row>
    <row r="79" spans="1:20" x14ac:dyDescent="0.25"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20" x14ac:dyDescent="0.25">
      <c r="G80" s="9"/>
    </row>
    <row r="81" spans="7:7" x14ac:dyDescent="0.25">
      <c r="G81" s="9"/>
    </row>
  </sheetData>
  <mergeCells count="21">
    <mergeCell ref="H4:L4"/>
    <mergeCell ref="M4:O4"/>
    <mergeCell ref="P4:R4"/>
    <mergeCell ref="S4:S6"/>
    <mergeCell ref="H5:H6"/>
    <mergeCell ref="I5:I6"/>
    <mergeCell ref="J5:J6"/>
    <mergeCell ref="K5:K6"/>
    <mergeCell ref="L5:L6"/>
    <mergeCell ref="M5:M6"/>
    <mergeCell ref="O5:O6"/>
    <mergeCell ref="P5:P6"/>
    <mergeCell ref="Q5:Q6"/>
    <mergeCell ref="R5:R6"/>
    <mergeCell ref="A26:F26"/>
    <mergeCell ref="N5:N6"/>
    <mergeCell ref="A14:B15"/>
    <mergeCell ref="C14:C15"/>
    <mergeCell ref="A22:C22"/>
    <mergeCell ref="A23:B23"/>
    <mergeCell ref="A24:F25"/>
  </mergeCells>
  <pageMargins left="0.35" right="0.2" top="0.75" bottom="0.75" header="0.3" footer="0.3"/>
  <pageSetup paperSize="133" scale="7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8BB67-529F-467B-A4A7-C372B32AB89F}">
  <sheetPr>
    <pageSetUpPr fitToPage="1"/>
  </sheetPr>
  <dimension ref="A1:Z81"/>
  <sheetViews>
    <sheetView view="pageBreakPreview" topLeftCell="B8" zoomScale="70" zoomScaleNormal="40" zoomScaleSheetLayoutView="70" workbookViewId="0">
      <selection activeCell="Q12" sqref="Q12"/>
    </sheetView>
  </sheetViews>
  <sheetFormatPr defaultRowHeight="15" x14ac:dyDescent="0.25"/>
  <cols>
    <col min="1" max="1" width="13.85546875" style="267" customWidth="1"/>
    <col min="2" max="2" width="14.5703125" style="267" customWidth="1"/>
    <col min="3" max="3" width="14.42578125" style="267" customWidth="1"/>
    <col min="4" max="4" width="11.85546875" style="267" customWidth="1"/>
    <col min="5" max="5" width="14" style="267" customWidth="1"/>
    <col min="6" max="8" width="9.140625" style="267"/>
    <col min="9" max="9" width="28.7109375" style="267" customWidth="1"/>
    <col min="10" max="15" width="14.7109375" style="267" customWidth="1"/>
    <col min="16" max="18" width="14.28515625" style="267" customWidth="1"/>
    <col min="19" max="19" width="19" style="267" customWidth="1"/>
    <col min="20" max="20" width="15" style="267" customWidth="1"/>
    <col min="21" max="21" width="16.140625" style="267" customWidth="1"/>
    <col min="22" max="22" width="16.85546875" style="267" customWidth="1"/>
    <col min="23" max="23" width="15" style="267" customWidth="1"/>
    <col min="24" max="24" width="34.5703125" style="267" customWidth="1"/>
    <col min="25" max="16384" width="9.140625" style="267"/>
  </cols>
  <sheetData>
    <row r="1" spans="1:24" ht="15.75" x14ac:dyDescent="0.25">
      <c r="A1" s="62" t="s">
        <v>162</v>
      </c>
    </row>
    <row r="2" spans="1:24" ht="15.75" x14ac:dyDescent="0.25">
      <c r="A2" s="62" t="s">
        <v>8</v>
      </c>
      <c r="B2" s="35"/>
      <c r="C2" s="35"/>
      <c r="D2" s="35"/>
      <c r="E2" s="35"/>
      <c r="F2" s="3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4" ht="15.75" thickBot="1" x14ac:dyDescent="0.3">
      <c r="A3" s="37"/>
      <c r="B3" s="37"/>
      <c r="C3" s="201"/>
      <c r="D3" s="202"/>
      <c r="E3" s="202"/>
      <c r="F3" s="3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4" ht="15.75" thickBot="1" x14ac:dyDescent="0.3">
      <c r="A4" s="63" t="s">
        <v>5</v>
      </c>
      <c r="B4" s="64" t="s">
        <v>267</v>
      </c>
      <c r="C4" s="65"/>
      <c r="D4" s="37"/>
      <c r="E4" s="35"/>
      <c r="F4" s="35"/>
      <c r="H4" s="552" t="s">
        <v>118</v>
      </c>
      <c r="I4" s="553"/>
      <c r="J4" s="553"/>
      <c r="K4" s="553"/>
      <c r="L4" s="554"/>
      <c r="M4" s="552" t="s">
        <v>119</v>
      </c>
      <c r="N4" s="553"/>
      <c r="O4" s="554"/>
      <c r="P4" s="552" t="s">
        <v>120</v>
      </c>
      <c r="Q4" s="553"/>
      <c r="R4" s="554"/>
      <c r="S4" s="560" t="s">
        <v>268</v>
      </c>
      <c r="T4" s="75"/>
    </row>
    <row r="5" spans="1:24" ht="17.25" x14ac:dyDescent="0.25">
      <c r="A5" s="66" t="s">
        <v>191</v>
      </c>
      <c r="B5" s="67">
        <v>4400</v>
      </c>
      <c r="C5" s="68"/>
      <c r="D5" s="37"/>
      <c r="E5" s="35"/>
      <c r="F5" s="35"/>
      <c r="H5" s="563" t="s">
        <v>4</v>
      </c>
      <c r="I5" s="565" t="s">
        <v>117</v>
      </c>
      <c r="J5" s="567" t="s">
        <v>12</v>
      </c>
      <c r="K5" s="567" t="s">
        <v>13</v>
      </c>
      <c r="L5" s="555" t="s">
        <v>34</v>
      </c>
      <c r="M5" s="569" t="s">
        <v>12</v>
      </c>
      <c r="N5" s="571" t="s">
        <v>13</v>
      </c>
      <c r="O5" s="573" t="s">
        <v>34</v>
      </c>
      <c r="P5" s="563" t="s">
        <v>12</v>
      </c>
      <c r="Q5" s="567" t="s">
        <v>13</v>
      </c>
      <c r="R5" s="555" t="s">
        <v>14</v>
      </c>
      <c r="S5" s="561"/>
      <c r="T5" s="75"/>
    </row>
    <row r="6" spans="1:24" ht="18" thickBot="1" x14ac:dyDescent="0.3">
      <c r="A6" s="69" t="s">
        <v>192</v>
      </c>
      <c r="B6" s="70">
        <v>451200</v>
      </c>
      <c r="C6" s="68"/>
      <c r="D6" s="37"/>
      <c r="E6" s="35"/>
      <c r="F6" s="35"/>
      <c r="H6" s="564"/>
      <c r="I6" s="566"/>
      <c r="J6" s="568"/>
      <c r="K6" s="568"/>
      <c r="L6" s="556"/>
      <c r="M6" s="570"/>
      <c r="N6" s="572"/>
      <c r="O6" s="574"/>
      <c r="P6" s="564"/>
      <c r="Q6" s="568"/>
      <c r="R6" s="556"/>
      <c r="S6" s="562"/>
      <c r="T6" s="75"/>
      <c r="W6" s="9"/>
      <c r="X6" s="9"/>
    </row>
    <row r="7" spans="1:24" ht="18" thickBot="1" x14ac:dyDescent="0.3">
      <c r="A7" s="71" t="s">
        <v>193</v>
      </c>
      <c r="B7" s="72">
        <v>9600000</v>
      </c>
      <c r="C7" s="68"/>
      <c r="D7" s="37"/>
      <c r="E7" s="35"/>
      <c r="F7" s="35"/>
      <c r="H7" s="78">
        <v>2017</v>
      </c>
      <c r="I7" s="200">
        <v>0</v>
      </c>
      <c r="J7" s="274">
        <f>C17</f>
        <v>1.4</v>
      </c>
      <c r="K7" s="274">
        <f>C18</f>
        <v>1.2</v>
      </c>
      <c r="L7" s="275">
        <v>0</v>
      </c>
      <c r="M7" s="273">
        <f t="shared" ref="M7:O9" si="0">ROUNDUP(J7*$C$23,2)</f>
        <v>0.28000000000000003</v>
      </c>
      <c r="N7" s="274">
        <f t="shared" si="0"/>
        <v>0.24</v>
      </c>
      <c r="O7" s="275">
        <f t="shared" si="0"/>
        <v>0</v>
      </c>
      <c r="P7" s="114"/>
      <c r="Q7" s="198"/>
      <c r="R7" s="199"/>
      <c r="S7" s="385">
        <f t="shared" ref="S7:S43" si="1">((P7*$B$5)+(Q7*$B$6)+(R7*$B$7))</f>
        <v>0</v>
      </c>
      <c r="T7" s="75"/>
      <c r="X7" s="9"/>
    </row>
    <row r="8" spans="1:24" x14ac:dyDescent="0.25">
      <c r="A8" s="73"/>
      <c r="B8" s="73"/>
      <c r="C8" s="35"/>
      <c r="D8" s="35"/>
      <c r="E8" s="35"/>
      <c r="F8" s="35"/>
      <c r="H8" s="79">
        <f>H7+1</f>
        <v>2018</v>
      </c>
      <c r="I8" s="86">
        <f t="shared" ref="I8:I43" si="2">((1+$C$42)^(H8-$H$7))-1</f>
        <v>7.5000000000000622E-3</v>
      </c>
      <c r="J8" s="277">
        <f>ROUNDUP($J$7*(1+I8),2)</f>
        <v>1.42</v>
      </c>
      <c r="K8" s="277">
        <f>ROUNDUP($K$7*(1+I8),2)</f>
        <v>1.21</v>
      </c>
      <c r="L8" s="278">
        <f>ROUNDUP($L$7*(1+I8),2)</f>
        <v>0</v>
      </c>
      <c r="M8" s="276">
        <f t="shared" si="0"/>
        <v>0.29000000000000004</v>
      </c>
      <c r="N8" s="277">
        <f t="shared" si="0"/>
        <v>0.25</v>
      </c>
      <c r="O8" s="278">
        <f t="shared" si="0"/>
        <v>0</v>
      </c>
      <c r="P8" s="79"/>
      <c r="Q8" s="85"/>
      <c r="R8" s="87"/>
      <c r="S8" s="109">
        <f t="shared" si="1"/>
        <v>0</v>
      </c>
      <c r="T8" s="75"/>
    </row>
    <row r="9" spans="1:24" x14ac:dyDescent="0.25">
      <c r="A9" s="73" t="s">
        <v>196</v>
      </c>
      <c r="B9" s="73"/>
      <c r="C9" s="35"/>
      <c r="D9" s="35"/>
      <c r="E9" s="35"/>
      <c r="F9" s="35"/>
      <c r="H9" s="79">
        <f t="shared" ref="H9:H43" si="3">H8+1</f>
        <v>2019</v>
      </c>
      <c r="I9" s="86">
        <f t="shared" si="2"/>
        <v>1.5056250000000215E-2</v>
      </c>
      <c r="J9" s="277">
        <f t="shared" ref="J9:J43" si="4">ROUNDUP($J$7*(1+I9),2)</f>
        <v>1.43</v>
      </c>
      <c r="K9" s="277">
        <f t="shared" ref="K9:K43" si="5">ROUNDUP($K$7*(1+I9),2)</f>
        <v>1.22</v>
      </c>
      <c r="L9" s="278">
        <f t="shared" ref="L9:L43" si="6">ROUNDUP($L$7*(1+I9),2)</f>
        <v>0</v>
      </c>
      <c r="M9" s="276">
        <f t="shared" si="0"/>
        <v>0.29000000000000004</v>
      </c>
      <c r="N9" s="277">
        <f t="shared" si="0"/>
        <v>0.25</v>
      </c>
      <c r="O9" s="278">
        <f t="shared" si="0"/>
        <v>0</v>
      </c>
      <c r="P9" s="79"/>
      <c r="Q9" s="85"/>
      <c r="R9" s="87"/>
      <c r="S9" s="109">
        <f t="shared" si="1"/>
        <v>0</v>
      </c>
      <c r="T9" s="75"/>
    </row>
    <row r="10" spans="1:24" x14ac:dyDescent="0.25">
      <c r="A10" s="299" t="s">
        <v>36</v>
      </c>
      <c r="B10" s="73" t="s">
        <v>195</v>
      </c>
      <c r="C10" s="35"/>
      <c r="D10" s="35"/>
      <c r="E10" s="35"/>
      <c r="F10" s="35"/>
      <c r="H10" s="79">
        <f t="shared" si="3"/>
        <v>2020</v>
      </c>
      <c r="I10" s="86">
        <f t="shared" si="2"/>
        <v>2.2669171875000282E-2</v>
      </c>
      <c r="J10" s="277">
        <f t="shared" si="4"/>
        <v>1.44</v>
      </c>
      <c r="K10" s="277">
        <f t="shared" si="5"/>
        <v>1.23</v>
      </c>
      <c r="L10" s="278">
        <f t="shared" si="6"/>
        <v>0</v>
      </c>
      <c r="M10" s="276">
        <f t="shared" ref="M10:M43" si="7">ROUNDUP(J10*$C$23,2)</f>
        <v>0.29000000000000004</v>
      </c>
      <c r="N10" s="277">
        <f t="shared" ref="N10:N43" si="8">ROUNDUP(K10*$C$23,2)</f>
        <v>0.25</v>
      </c>
      <c r="O10" s="278">
        <f t="shared" ref="O10:O43" si="9">ROUNDUP(L10*$C$23,2)</f>
        <v>0</v>
      </c>
      <c r="P10" s="79"/>
      <c r="Q10" s="85"/>
      <c r="R10" s="87"/>
      <c r="S10" s="109">
        <f t="shared" si="1"/>
        <v>0</v>
      </c>
      <c r="T10" s="75"/>
    </row>
    <row r="11" spans="1:24" x14ac:dyDescent="0.25">
      <c r="A11" s="299" t="s">
        <v>37</v>
      </c>
      <c r="B11" s="73" t="s">
        <v>197</v>
      </c>
      <c r="C11" s="35"/>
      <c r="D11" s="35"/>
      <c r="E11" s="35"/>
      <c r="F11" s="35"/>
      <c r="H11" s="79">
        <f t="shared" si="3"/>
        <v>2021</v>
      </c>
      <c r="I11" s="86">
        <f t="shared" si="2"/>
        <v>3.0339190664062876E-2</v>
      </c>
      <c r="J11" s="277">
        <f t="shared" si="4"/>
        <v>1.45</v>
      </c>
      <c r="K11" s="277">
        <f t="shared" si="5"/>
        <v>1.24</v>
      </c>
      <c r="L11" s="278">
        <f t="shared" si="6"/>
        <v>0</v>
      </c>
      <c r="M11" s="276">
        <f t="shared" si="7"/>
        <v>0.28999999999999998</v>
      </c>
      <c r="N11" s="277">
        <f t="shared" si="8"/>
        <v>0.25</v>
      </c>
      <c r="O11" s="278">
        <f t="shared" si="9"/>
        <v>0</v>
      </c>
      <c r="P11" s="79"/>
      <c r="Q11" s="85"/>
      <c r="R11" s="87"/>
      <c r="S11" s="109">
        <f t="shared" si="1"/>
        <v>0</v>
      </c>
      <c r="T11" s="75"/>
    </row>
    <row r="12" spans="1:24" ht="15" customHeight="1" x14ac:dyDescent="0.25">
      <c r="A12" s="299" t="s">
        <v>38</v>
      </c>
      <c r="B12" s="73" t="s">
        <v>198</v>
      </c>
      <c r="C12" s="35"/>
      <c r="D12" s="35"/>
      <c r="E12" s="35"/>
      <c r="F12" s="35"/>
      <c r="H12" s="79">
        <f t="shared" si="3"/>
        <v>2022</v>
      </c>
      <c r="I12" s="86">
        <f t="shared" si="2"/>
        <v>3.8066734594043306E-2</v>
      </c>
      <c r="J12" s="277">
        <f t="shared" si="4"/>
        <v>1.46</v>
      </c>
      <c r="K12" s="277">
        <f t="shared" si="5"/>
        <v>1.25</v>
      </c>
      <c r="L12" s="278">
        <f t="shared" si="6"/>
        <v>0</v>
      </c>
      <c r="M12" s="276">
        <f t="shared" si="7"/>
        <v>0.3</v>
      </c>
      <c r="N12" s="277">
        <f t="shared" si="8"/>
        <v>0.25</v>
      </c>
      <c r="O12" s="278">
        <f t="shared" si="9"/>
        <v>0</v>
      </c>
      <c r="P12" s="79"/>
      <c r="Q12" s="85"/>
      <c r="R12" s="87"/>
      <c r="S12" s="109">
        <f t="shared" si="1"/>
        <v>0</v>
      </c>
      <c r="T12" s="75"/>
    </row>
    <row r="13" spans="1:24" ht="15.75" thickBot="1" x14ac:dyDescent="0.3">
      <c r="A13" s="35"/>
      <c r="B13" s="35"/>
      <c r="C13" s="35"/>
      <c r="D13" s="35"/>
      <c r="E13" s="35"/>
      <c r="F13" s="35"/>
      <c r="H13" s="79">
        <f t="shared" si="3"/>
        <v>2023</v>
      </c>
      <c r="I13" s="86">
        <f t="shared" si="2"/>
        <v>4.5852235103498895E-2</v>
      </c>
      <c r="J13" s="277">
        <f t="shared" si="4"/>
        <v>1.47</v>
      </c>
      <c r="K13" s="277">
        <f t="shared" si="5"/>
        <v>1.26</v>
      </c>
      <c r="L13" s="278">
        <f t="shared" si="6"/>
        <v>0</v>
      </c>
      <c r="M13" s="276">
        <f t="shared" si="7"/>
        <v>0.3</v>
      </c>
      <c r="N13" s="277">
        <f t="shared" si="8"/>
        <v>0.26</v>
      </c>
      <c r="O13" s="278">
        <f t="shared" si="9"/>
        <v>0</v>
      </c>
      <c r="P13" s="79"/>
      <c r="Q13" s="85"/>
      <c r="R13" s="87"/>
      <c r="S13" s="109">
        <f t="shared" si="1"/>
        <v>0</v>
      </c>
      <c r="T13" s="75"/>
    </row>
    <row r="14" spans="1:24" ht="15" customHeight="1" x14ac:dyDescent="0.25">
      <c r="A14" s="577" t="s">
        <v>199</v>
      </c>
      <c r="B14" s="577"/>
      <c r="C14" s="577" t="s">
        <v>11</v>
      </c>
      <c r="D14" s="35"/>
      <c r="E14" s="35"/>
      <c r="F14" s="35"/>
      <c r="H14" s="79">
        <f t="shared" si="3"/>
        <v>2024</v>
      </c>
      <c r="I14" s="86">
        <f t="shared" si="2"/>
        <v>5.3696126866775273E-2</v>
      </c>
      <c r="J14" s="277">
        <f t="shared" si="4"/>
        <v>1.48</v>
      </c>
      <c r="K14" s="277">
        <f t="shared" si="5"/>
        <v>1.27</v>
      </c>
      <c r="L14" s="278">
        <f t="shared" si="6"/>
        <v>0</v>
      </c>
      <c r="M14" s="276">
        <f t="shared" si="7"/>
        <v>0.3</v>
      </c>
      <c r="N14" s="277">
        <f t="shared" si="8"/>
        <v>0.26</v>
      </c>
      <c r="O14" s="278">
        <f t="shared" si="9"/>
        <v>0</v>
      </c>
      <c r="P14" s="79"/>
      <c r="Q14" s="85"/>
      <c r="R14" s="87"/>
      <c r="S14" s="109">
        <f t="shared" si="1"/>
        <v>0</v>
      </c>
      <c r="T14" s="75"/>
    </row>
    <row r="15" spans="1:24" ht="15.75" thickBot="1" x14ac:dyDescent="0.3">
      <c r="A15" s="578"/>
      <c r="B15" s="578"/>
      <c r="C15" s="578"/>
      <c r="D15" s="35"/>
      <c r="E15" s="35"/>
      <c r="F15" s="35"/>
      <c r="H15" s="79">
        <f t="shared" si="3"/>
        <v>2025</v>
      </c>
      <c r="I15" s="86">
        <f t="shared" si="2"/>
        <v>6.159884781827607E-2</v>
      </c>
      <c r="J15" s="277">
        <f t="shared" si="4"/>
        <v>1.49</v>
      </c>
      <c r="K15" s="277">
        <f t="shared" si="5"/>
        <v>1.28</v>
      </c>
      <c r="L15" s="278">
        <f t="shared" si="6"/>
        <v>0</v>
      </c>
      <c r="M15" s="276">
        <f t="shared" si="7"/>
        <v>0.3</v>
      </c>
      <c r="N15" s="277">
        <f t="shared" si="8"/>
        <v>0.26</v>
      </c>
      <c r="O15" s="278">
        <f t="shared" si="9"/>
        <v>0</v>
      </c>
      <c r="P15" s="79"/>
      <c r="Q15" s="85"/>
      <c r="R15" s="87"/>
      <c r="S15" s="109">
        <f t="shared" si="1"/>
        <v>0</v>
      </c>
      <c r="T15" s="75"/>
    </row>
    <row r="16" spans="1:24" x14ac:dyDescent="0.25">
      <c r="A16" s="66" t="s">
        <v>31</v>
      </c>
      <c r="B16" s="66">
        <v>26</v>
      </c>
      <c r="C16" s="82">
        <f>B16/10</f>
        <v>2.6</v>
      </c>
      <c r="D16" s="35"/>
      <c r="E16" s="35"/>
      <c r="F16" s="35"/>
      <c r="H16" s="79">
        <f t="shared" si="3"/>
        <v>2026</v>
      </c>
      <c r="I16" s="86">
        <f t="shared" si="2"/>
        <v>6.9560839176913136E-2</v>
      </c>
      <c r="J16" s="277">
        <f t="shared" si="4"/>
        <v>1.5</v>
      </c>
      <c r="K16" s="277">
        <f t="shared" si="5"/>
        <v>1.29</v>
      </c>
      <c r="L16" s="278">
        <f t="shared" si="6"/>
        <v>0</v>
      </c>
      <c r="M16" s="276">
        <f t="shared" si="7"/>
        <v>0.3</v>
      </c>
      <c r="N16" s="277">
        <f t="shared" si="8"/>
        <v>0.26</v>
      </c>
      <c r="O16" s="278">
        <f t="shared" si="9"/>
        <v>0</v>
      </c>
      <c r="P16" s="79"/>
      <c r="Q16" s="85"/>
      <c r="R16" s="87"/>
      <c r="S16" s="109">
        <f t="shared" si="1"/>
        <v>0</v>
      </c>
      <c r="T16" s="75"/>
    </row>
    <row r="17" spans="1:20" x14ac:dyDescent="0.25">
      <c r="A17" s="69" t="s">
        <v>6</v>
      </c>
      <c r="B17" s="69">
        <v>14</v>
      </c>
      <c r="C17" s="83">
        <f>B17/10</f>
        <v>1.4</v>
      </c>
      <c r="D17" s="35"/>
      <c r="E17" s="35"/>
      <c r="F17" s="35"/>
      <c r="H17" s="79">
        <f t="shared" si="3"/>
        <v>2027</v>
      </c>
      <c r="I17" s="86">
        <f t="shared" si="2"/>
        <v>7.7582545470740172E-2</v>
      </c>
      <c r="J17" s="277">
        <f t="shared" si="4"/>
        <v>1.51</v>
      </c>
      <c r="K17" s="277">
        <f t="shared" si="5"/>
        <v>1.3</v>
      </c>
      <c r="L17" s="278">
        <f t="shared" si="6"/>
        <v>0</v>
      </c>
      <c r="M17" s="276">
        <f t="shared" si="7"/>
        <v>0.31</v>
      </c>
      <c r="N17" s="277">
        <f t="shared" si="8"/>
        <v>0.26</v>
      </c>
      <c r="O17" s="278">
        <f t="shared" si="9"/>
        <v>0</v>
      </c>
      <c r="P17" s="276">
        <f t="shared" ref="P17:P22" si="10">ABS(J17-M17)</f>
        <v>1.2</v>
      </c>
      <c r="Q17" s="279">
        <f t="shared" ref="Q17:Q22" si="11">ABS(K17-N17)</f>
        <v>1.04</v>
      </c>
      <c r="R17" s="278">
        <f t="shared" ref="R17:R22" si="12">ABS(L17-O17)</f>
        <v>0</v>
      </c>
      <c r="S17" s="109">
        <f t="shared" si="1"/>
        <v>474528</v>
      </c>
      <c r="T17" s="75"/>
    </row>
    <row r="18" spans="1:20" x14ac:dyDescent="0.25">
      <c r="A18" s="69" t="s">
        <v>7</v>
      </c>
      <c r="B18" s="69">
        <v>12</v>
      </c>
      <c r="C18" s="83">
        <f>B18/10</f>
        <v>1.2</v>
      </c>
      <c r="D18" s="42"/>
      <c r="E18" s="35"/>
      <c r="F18" s="35"/>
      <c r="H18" s="79">
        <f t="shared" si="3"/>
        <v>2028</v>
      </c>
      <c r="I18" s="86">
        <f t="shared" si="2"/>
        <v>8.5664414561770874E-2</v>
      </c>
      <c r="J18" s="277">
        <f t="shared" si="4"/>
        <v>1.52</v>
      </c>
      <c r="K18" s="277">
        <f t="shared" si="5"/>
        <v>1.31</v>
      </c>
      <c r="L18" s="278">
        <f t="shared" si="6"/>
        <v>0</v>
      </c>
      <c r="M18" s="276">
        <f t="shared" si="7"/>
        <v>0.31</v>
      </c>
      <c r="N18" s="277">
        <f t="shared" si="8"/>
        <v>0.27</v>
      </c>
      <c r="O18" s="278">
        <f t="shared" si="9"/>
        <v>0</v>
      </c>
      <c r="P18" s="276">
        <f t="shared" si="10"/>
        <v>1.21</v>
      </c>
      <c r="Q18" s="279">
        <f t="shared" si="11"/>
        <v>1.04</v>
      </c>
      <c r="R18" s="278">
        <f t="shared" si="12"/>
        <v>0</v>
      </c>
      <c r="S18" s="109">
        <f t="shared" si="1"/>
        <v>474572</v>
      </c>
      <c r="T18" s="75"/>
    </row>
    <row r="19" spans="1:20" ht="15.75" thickBot="1" x14ac:dyDescent="0.3">
      <c r="A19" s="71" t="s">
        <v>9</v>
      </c>
      <c r="B19" s="71">
        <v>0</v>
      </c>
      <c r="C19" s="84">
        <f>B19/10</f>
        <v>0</v>
      </c>
      <c r="D19" s="42"/>
      <c r="E19" s="35"/>
      <c r="F19" s="35"/>
      <c r="H19" s="79">
        <f t="shared" si="3"/>
        <v>2029</v>
      </c>
      <c r="I19" s="86">
        <f t="shared" si="2"/>
        <v>9.3806897670984268E-2</v>
      </c>
      <c r="J19" s="277">
        <f t="shared" si="4"/>
        <v>1.54</v>
      </c>
      <c r="K19" s="277">
        <f t="shared" si="5"/>
        <v>1.32</v>
      </c>
      <c r="L19" s="278">
        <f t="shared" si="6"/>
        <v>0</v>
      </c>
      <c r="M19" s="276">
        <f t="shared" si="7"/>
        <v>0.31</v>
      </c>
      <c r="N19" s="277">
        <f t="shared" si="8"/>
        <v>0.27</v>
      </c>
      <c r="O19" s="278">
        <f t="shared" si="9"/>
        <v>0</v>
      </c>
      <c r="P19" s="276">
        <f t="shared" si="10"/>
        <v>1.23</v>
      </c>
      <c r="Q19" s="279">
        <f t="shared" si="11"/>
        <v>1.05</v>
      </c>
      <c r="R19" s="278">
        <f t="shared" si="12"/>
        <v>0</v>
      </c>
      <c r="S19" s="109">
        <f t="shared" si="1"/>
        <v>479172</v>
      </c>
      <c r="T19" s="75"/>
    </row>
    <row r="20" spans="1:20" x14ac:dyDescent="0.25">
      <c r="A20" s="299" t="s">
        <v>200</v>
      </c>
      <c r="B20" s="271" t="s">
        <v>33</v>
      </c>
      <c r="C20" s="271"/>
      <c r="D20" s="42"/>
      <c r="E20" s="35"/>
      <c r="F20" s="35"/>
      <c r="H20" s="79">
        <f t="shared" si="3"/>
        <v>2030</v>
      </c>
      <c r="I20" s="86">
        <f t="shared" si="2"/>
        <v>0.10201044940351656</v>
      </c>
      <c r="J20" s="277">
        <f t="shared" si="4"/>
        <v>1.55</v>
      </c>
      <c r="K20" s="277">
        <f t="shared" si="5"/>
        <v>1.33</v>
      </c>
      <c r="L20" s="278">
        <f t="shared" si="6"/>
        <v>0</v>
      </c>
      <c r="M20" s="276">
        <f t="shared" si="7"/>
        <v>0.31</v>
      </c>
      <c r="N20" s="277">
        <f t="shared" si="8"/>
        <v>0.27</v>
      </c>
      <c r="O20" s="278">
        <f t="shared" si="9"/>
        <v>0</v>
      </c>
      <c r="P20" s="276">
        <f t="shared" si="10"/>
        <v>1.24</v>
      </c>
      <c r="Q20" s="279">
        <f t="shared" si="11"/>
        <v>1.06</v>
      </c>
      <c r="R20" s="278">
        <f t="shared" si="12"/>
        <v>0</v>
      </c>
      <c r="S20" s="109">
        <f t="shared" si="1"/>
        <v>483728</v>
      </c>
      <c r="T20" s="75"/>
    </row>
    <row r="21" spans="1:20" ht="15.75" thickBot="1" x14ac:dyDescent="0.3">
      <c r="A21" s="42"/>
      <c r="B21" s="42"/>
      <c r="C21" s="42"/>
      <c r="D21" s="42"/>
      <c r="E21" s="35"/>
      <c r="F21" s="35"/>
      <c r="H21" s="79">
        <f t="shared" si="3"/>
        <v>2031</v>
      </c>
      <c r="I21" s="86">
        <f t="shared" si="2"/>
        <v>0.11027552777404326</v>
      </c>
      <c r="J21" s="277">
        <f t="shared" si="4"/>
        <v>1.56</v>
      </c>
      <c r="K21" s="277">
        <f t="shared" si="5"/>
        <v>1.34</v>
      </c>
      <c r="L21" s="278">
        <f t="shared" si="6"/>
        <v>0</v>
      </c>
      <c r="M21" s="276">
        <f t="shared" si="7"/>
        <v>0.32</v>
      </c>
      <c r="N21" s="277">
        <f t="shared" si="8"/>
        <v>0.27</v>
      </c>
      <c r="O21" s="278">
        <f t="shared" si="9"/>
        <v>0</v>
      </c>
      <c r="P21" s="276">
        <f t="shared" si="10"/>
        <v>1.24</v>
      </c>
      <c r="Q21" s="279">
        <f t="shared" si="11"/>
        <v>1.07</v>
      </c>
      <c r="R21" s="278">
        <f t="shared" si="12"/>
        <v>0</v>
      </c>
      <c r="S21" s="109">
        <f t="shared" si="1"/>
        <v>488240</v>
      </c>
      <c r="T21" s="75"/>
    </row>
    <row r="22" spans="1:20" ht="18" thickBot="1" x14ac:dyDescent="0.3">
      <c r="A22" s="549" t="s">
        <v>201</v>
      </c>
      <c r="B22" s="550"/>
      <c r="C22" s="557"/>
      <c r="D22" s="35"/>
      <c r="E22" s="35"/>
      <c r="F22" s="35"/>
      <c r="H22" s="79">
        <f t="shared" si="3"/>
        <v>2032</v>
      </c>
      <c r="I22" s="86">
        <f t="shared" si="2"/>
        <v>0.11860259423234876</v>
      </c>
      <c r="J22" s="277">
        <f t="shared" si="4"/>
        <v>1.57</v>
      </c>
      <c r="K22" s="277">
        <f t="shared" si="5"/>
        <v>1.35</v>
      </c>
      <c r="L22" s="278">
        <f t="shared" si="6"/>
        <v>0</v>
      </c>
      <c r="M22" s="276">
        <f t="shared" si="7"/>
        <v>0.32</v>
      </c>
      <c r="N22" s="277">
        <f t="shared" si="8"/>
        <v>0.27</v>
      </c>
      <c r="O22" s="278">
        <f t="shared" si="9"/>
        <v>0</v>
      </c>
      <c r="P22" s="276">
        <f t="shared" si="10"/>
        <v>1.25</v>
      </c>
      <c r="Q22" s="279">
        <f t="shared" si="11"/>
        <v>1.08</v>
      </c>
      <c r="R22" s="278">
        <f t="shared" si="12"/>
        <v>0</v>
      </c>
      <c r="S22" s="109">
        <f t="shared" si="1"/>
        <v>492796.00000000006</v>
      </c>
      <c r="T22" s="75"/>
    </row>
    <row r="23" spans="1:20" ht="15.75" thickBot="1" x14ac:dyDescent="0.3">
      <c r="A23" s="549" t="s">
        <v>35</v>
      </c>
      <c r="B23" s="550"/>
      <c r="C23" s="118">
        <v>0.2</v>
      </c>
      <c r="D23" s="35"/>
      <c r="E23" s="35"/>
      <c r="F23" s="35"/>
      <c r="H23" s="79">
        <f t="shared" si="3"/>
        <v>2033</v>
      </c>
      <c r="I23" s="86">
        <f t="shared" si="2"/>
        <v>0.12699211368909125</v>
      </c>
      <c r="J23" s="277">
        <f t="shared" si="4"/>
        <v>1.58</v>
      </c>
      <c r="K23" s="277">
        <f t="shared" si="5"/>
        <v>1.36</v>
      </c>
      <c r="L23" s="278">
        <f t="shared" si="6"/>
        <v>0</v>
      </c>
      <c r="M23" s="276">
        <f t="shared" si="7"/>
        <v>0.32</v>
      </c>
      <c r="N23" s="277">
        <f t="shared" si="8"/>
        <v>0.28000000000000003</v>
      </c>
      <c r="O23" s="278">
        <f t="shared" si="9"/>
        <v>0</v>
      </c>
      <c r="P23" s="276">
        <f>ABS(J23-M23)</f>
        <v>1.26</v>
      </c>
      <c r="Q23" s="279">
        <f>ABS(K23-N23)</f>
        <v>1.08</v>
      </c>
      <c r="R23" s="278">
        <f>ABS(L23-O23)</f>
        <v>0</v>
      </c>
      <c r="S23" s="109">
        <f t="shared" si="1"/>
        <v>492840.00000000006</v>
      </c>
      <c r="T23" s="75"/>
    </row>
    <row r="24" spans="1:20" ht="15" customHeight="1" x14ac:dyDescent="0.25">
      <c r="A24" s="35"/>
      <c r="B24" s="35"/>
      <c r="C24" s="35"/>
      <c r="D24" s="35"/>
      <c r="E24" s="35"/>
      <c r="F24" s="35"/>
      <c r="H24" s="79">
        <f t="shared" si="3"/>
        <v>2034</v>
      </c>
      <c r="I24" s="86">
        <f t="shared" si="2"/>
        <v>0.13544455454175952</v>
      </c>
      <c r="J24" s="277">
        <f t="shared" si="4"/>
        <v>1.59</v>
      </c>
      <c r="K24" s="277">
        <f t="shared" si="5"/>
        <v>1.37</v>
      </c>
      <c r="L24" s="278">
        <f t="shared" si="6"/>
        <v>0</v>
      </c>
      <c r="M24" s="276">
        <f t="shared" si="7"/>
        <v>0.32</v>
      </c>
      <c r="N24" s="277">
        <f t="shared" si="8"/>
        <v>0.28000000000000003</v>
      </c>
      <c r="O24" s="278">
        <f t="shared" si="9"/>
        <v>0</v>
      </c>
      <c r="P24" s="276">
        <f t="shared" ref="P24:R43" si="13">ABS(J24-M24)</f>
        <v>1.27</v>
      </c>
      <c r="Q24" s="279">
        <f t="shared" si="13"/>
        <v>1.0900000000000001</v>
      </c>
      <c r="R24" s="278">
        <f t="shared" si="13"/>
        <v>0</v>
      </c>
      <c r="S24" s="109">
        <f t="shared" si="1"/>
        <v>497396.00000000006</v>
      </c>
      <c r="T24" s="75"/>
    </row>
    <row r="25" spans="1:20" ht="15" customHeight="1" x14ac:dyDescent="0.25">
      <c r="A25" s="551" t="s">
        <v>221</v>
      </c>
      <c r="B25" s="551"/>
      <c r="C25" s="551"/>
      <c r="D25" s="551"/>
      <c r="E25" s="551"/>
      <c r="F25" s="551"/>
      <c r="H25" s="79">
        <f t="shared" si="3"/>
        <v>2035</v>
      </c>
      <c r="I25" s="86">
        <f t="shared" si="2"/>
        <v>0.14396038870082295</v>
      </c>
      <c r="J25" s="277">
        <f t="shared" si="4"/>
        <v>1.61</v>
      </c>
      <c r="K25" s="277">
        <f t="shared" si="5"/>
        <v>1.3800000000000001</v>
      </c>
      <c r="L25" s="278">
        <f t="shared" si="6"/>
        <v>0</v>
      </c>
      <c r="M25" s="276">
        <f t="shared" si="7"/>
        <v>0.33</v>
      </c>
      <c r="N25" s="277">
        <f t="shared" si="8"/>
        <v>0.28000000000000003</v>
      </c>
      <c r="O25" s="278">
        <f t="shared" si="9"/>
        <v>0</v>
      </c>
      <c r="P25" s="276">
        <f t="shared" si="13"/>
        <v>1.28</v>
      </c>
      <c r="Q25" s="279">
        <f t="shared" si="13"/>
        <v>1.1000000000000001</v>
      </c>
      <c r="R25" s="278">
        <f t="shared" si="13"/>
        <v>0</v>
      </c>
      <c r="S25" s="109">
        <f t="shared" si="1"/>
        <v>501952.00000000006</v>
      </c>
      <c r="T25" s="75"/>
    </row>
    <row r="26" spans="1:20" x14ac:dyDescent="0.25">
      <c r="A26" s="551"/>
      <c r="B26" s="551"/>
      <c r="C26" s="551"/>
      <c r="D26" s="551"/>
      <c r="E26" s="551"/>
      <c r="F26" s="551"/>
      <c r="H26" s="79">
        <f t="shared" si="3"/>
        <v>2036</v>
      </c>
      <c r="I26" s="86">
        <f t="shared" si="2"/>
        <v>0.15254009161607907</v>
      </c>
      <c r="J26" s="277">
        <f t="shared" si="4"/>
        <v>1.62</v>
      </c>
      <c r="K26" s="277">
        <f t="shared" si="5"/>
        <v>1.39</v>
      </c>
      <c r="L26" s="278">
        <f t="shared" si="6"/>
        <v>0</v>
      </c>
      <c r="M26" s="276">
        <f t="shared" si="7"/>
        <v>0.33</v>
      </c>
      <c r="N26" s="277">
        <f t="shared" si="8"/>
        <v>0.28000000000000003</v>
      </c>
      <c r="O26" s="278">
        <f t="shared" si="9"/>
        <v>0</v>
      </c>
      <c r="P26" s="276">
        <f t="shared" si="13"/>
        <v>1.29</v>
      </c>
      <c r="Q26" s="279">
        <f t="shared" si="13"/>
        <v>1.1099999999999999</v>
      </c>
      <c r="R26" s="278">
        <f t="shared" si="13"/>
        <v>0</v>
      </c>
      <c r="S26" s="109">
        <f t="shared" si="1"/>
        <v>506507.99999999994</v>
      </c>
      <c r="T26" s="75"/>
    </row>
    <row r="27" spans="1:20" x14ac:dyDescent="0.25">
      <c r="A27" s="551"/>
      <c r="B27" s="551"/>
      <c r="C27" s="551"/>
      <c r="D27" s="551"/>
      <c r="E27" s="551"/>
      <c r="F27" s="551"/>
      <c r="H27" s="79">
        <f t="shared" si="3"/>
        <v>2037</v>
      </c>
      <c r="I27" s="86">
        <f t="shared" si="2"/>
        <v>0.16118414230319988</v>
      </c>
      <c r="J27" s="277">
        <f t="shared" si="4"/>
        <v>1.6300000000000001</v>
      </c>
      <c r="K27" s="277">
        <f t="shared" si="5"/>
        <v>1.4</v>
      </c>
      <c r="L27" s="278">
        <f t="shared" si="6"/>
        <v>0</v>
      </c>
      <c r="M27" s="276">
        <f t="shared" si="7"/>
        <v>0.33</v>
      </c>
      <c r="N27" s="277">
        <f t="shared" si="8"/>
        <v>0.28000000000000003</v>
      </c>
      <c r="O27" s="278">
        <f t="shared" si="9"/>
        <v>0</v>
      </c>
      <c r="P27" s="276">
        <f t="shared" si="13"/>
        <v>1.3</v>
      </c>
      <c r="Q27" s="279">
        <f t="shared" si="13"/>
        <v>1.1199999999999999</v>
      </c>
      <c r="R27" s="278">
        <f t="shared" si="13"/>
        <v>0</v>
      </c>
      <c r="S27" s="109">
        <f t="shared" si="1"/>
        <v>511063.99999999994</v>
      </c>
      <c r="T27" s="75"/>
    </row>
    <row r="28" spans="1:20" x14ac:dyDescent="0.25">
      <c r="D28" s="35"/>
      <c r="E28" s="35"/>
      <c r="F28" s="35"/>
      <c r="H28" s="79">
        <f t="shared" si="3"/>
        <v>2038</v>
      </c>
      <c r="I28" s="86">
        <f t="shared" si="2"/>
        <v>0.16989302337047385</v>
      </c>
      <c r="J28" s="277">
        <f t="shared" si="4"/>
        <v>1.64</v>
      </c>
      <c r="K28" s="277">
        <f t="shared" si="5"/>
        <v>1.41</v>
      </c>
      <c r="L28" s="278">
        <f t="shared" si="6"/>
        <v>0</v>
      </c>
      <c r="M28" s="276">
        <f t="shared" si="7"/>
        <v>0.33</v>
      </c>
      <c r="N28" s="277">
        <f t="shared" si="8"/>
        <v>0.29000000000000004</v>
      </c>
      <c r="O28" s="278">
        <f t="shared" si="9"/>
        <v>0</v>
      </c>
      <c r="P28" s="276">
        <f t="shared" si="13"/>
        <v>1.3099999999999998</v>
      </c>
      <c r="Q28" s="279">
        <f t="shared" si="13"/>
        <v>1.1199999999999999</v>
      </c>
      <c r="R28" s="278">
        <f t="shared" si="13"/>
        <v>0</v>
      </c>
      <c r="S28" s="109">
        <f t="shared" si="1"/>
        <v>511107.99999999994</v>
      </c>
      <c r="T28" s="75"/>
    </row>
    <row r="29" spans="1:20" x14ac:dyDescent="0.25">
      <c r="D29" s="35"/>
      <c r="E29" s="35"/>
      <c r="F29" s="35"/>
      <c r="H29" s="79">
        <f t="shared" si="3"/>
        <v>2039</v>
      </c>
      <c r="I29" s="86">
        <f t="shared" si="2"/>
        <v>0.17866722104575272</v>
      </c>
      <c r="J29" s="277">
        <f t="shared" si="4"/>
        <v>1.66</v>
      </c>
      <c r="K29" s="277">
        <f t="shared" si="5"/>
        <v>1.42</v>
      </c>
      <c r="L29" s="278">
        <f t="shared" si="6"/>
        <v>0</v>
      </c>
      <c r="M29" s="276">
        <f t="shared" si="7"/>
        <v>0.34</v>
      </c>
      <c r="N29" s="277">
        <f t="shared" si="8"/>
        <v>0.29000000000000004</v>
      </c>
      <c r="O29" s="278">
        <f t="shared" si="9"/>
        <v>0</v>
      </c>
      <c r="P29" s="276">
        <f t="shared" si="13"/>
        <v>1.3199999999999998</v>
      </c>
      <c r="Q29" s="279">
        <f t="shared" si="13"/>
        <v>1.1299999999999999</v>
      </c>
      <c r="R29" s="278">
        <f t="shared" si="13"/>
        <v>0</v>
      </c>
      <c r="S29" s="109">
        <f t="shared" si="1"/>
        <v>515663.99999999994</v>
      </c>
      <c r="T29" s="75"/>
    </row>
    <row r="30" spans="1:20" x14ac:dyDescent="0.25">
      <c r="D30" s="35"/>
      <c r="E30" s="35"/>
      <c r="F30" s="35"/>
      <c r="H30" s="79">
        <f t="shared" si="3"/>
        <v>2040</v>
      </c>
      <c r="I30" s="86">
        <f t="shared" si="2"/>
        <v>0.18750722520359586</v>
      </c>
      <c r="J30" s="277">
        <f t="shared" si="4"/>
        <v>1.67</v>
      </c>
      <c r="K30" s="277">
        <f t="shared" si="5"/>
        <v>1.43</v>
      </c>
      <c r="L30" s="278">
        <f t="shared" si="6"/>
        <v>0</v>
      </c>
      <c r="M30" s="276">
        <f t="shared" si="7"/>
        <v>0.34</v>
      </c>
      <c r="N30" s="277">
        <f t="shared" si="8"/>
        <v>0.29000000000000004</v>
      </c>
      <c r="O30" s="278">
        <f t="shared" si="9"/>
        <v>0</v>
      </c>
      <c r="P30" s="276">
        <f t="shared" si="13"/>
        <v>1.3299999999999998</v>
      </c>
      <c r="Q30" s="279">
        <f t="shared" si="13"/>
        <v>1.1399999999999999</v>
      </c>
      <c r="R30" s="278">
        <f t="shared" si="13"/>
        <v>0</v>
      </c>
      <c r="S30" s="109">
        <f t="shared" si="1"/>
        <v>520219.99999999994</v>
      </c>
      <c r="T30" s="75"/>
    </row>
    <row r="31" spans="1:20" ht="15" customHeight="1" x14ac:dyDescent="0.25">
      <c r="D31" s="35"/>
      <c r="E31" s="35"/>
      <c r="F31" s="35"/>
      <c r="G31" s="35"/>
      <c r="H31" s="79">
        <f t="shared" si="3"/>
        <v>2041</v>
      </c>
      <c r="I31" s="86">
        <f t="shared" si="2"/>
        <v>0.1964135293926228</v>
      </c>
      <c r="J31" s="277">
        <f t="shared" si="4"/>
        <v>1.68</v>
      </c>
      <c r="K31" s="277">
        <f t="shared" si="5"/>
        <v>1.44</v>
      </c>
      <c r="L31" s="278">
        <f t="shared" si="6"/>
        <v>0</v>
      </c>
      <c r="M31" s="276">
        <f t="shared" si="7"/>
        <v>0.34</v>
      </c>
      <c r="N31" s="277">
        <f t="shared" si="8"/>
        <v>0.29000000000000004</v>
      </c>
      <c r="O31" s="278">
        <f t="shared" si="9"/>
        <v>0</v>
      </c>
      <c r="P31" s="276">
        <f t="shared" si="13"/>
        <v>1.3399999999999999</v>
      </c>
      <c r="Q31" s="279">
        <f t="shared" si="13"/>
        <v>1.1499999999999999</v>
      </c>
      <c r="R31" s="278">
        <f t="shared" si="13"/>
        <v>0</v>
      </c>
      <c r="S31" s="109">
        <f t="shared" si="1"/>
        <v>524775.99999999988</v>
      </c>
      <c r="T31" s="75"/>
    </row>
    <row r="32" spans="1:20" x14ac:dyDescent="0.25">
      <c r="F32" s="35"/>
      <c r="G32" s="35"/>
      <c r="H32" s="79">
        <f t="shared" si="3"/>
        <v>2042</v>
      </c>
      <c r="I32" s="86">
        <f t="shared" si="2"/>
        <v>0.20538663086306763</v>
      </c>
      <c r="J32" s="277">
        <f t="shared" si="4"/>
        <v>1.69</v>
      </c>
      <c r="K32" s="277">
        <f t="shared" si="5"/>
        <v>1.45</v>
      </c>
      <c r="L32" s="278">
        <f t="shared" si="6"/>
        <v>0</v>
      </c>
      <c r="M32" s="276">
        <f t="shared" si="7"/>
        <v>0.34</v>
      </c>
      <c r="N32" s="277">
        <f t="shared" si="8"/>
        <v>0.28999999999999998</v>
      </c>
      <c r="O32" s="278">
        <f t="shared" si="9"/>
        <v>0</v>
      </c>
      <c r="P32" s="276">
        <f t="shared" si="13"/>
        <v>1.3499999999999999</v>
      </c>
      <c r="Q32" s="279">
        <f t="shared" si="13"/>
        <v>1.1599999999999999</v>
      </c>
      <c r="R32" s="278">
        <f t="shared" si="13"/>
        <v>0</v>
      </c>
      <c r="S32" s="109">
        <f t="shared" si="1"/>
        <v>529331.99999999988</v>
      </c>
      <c r="T32" s="75"/>
    </row>
    <row r="33" spans="1:26" x14ac:dyDescent="0.25">
      <c r="F33" s="35"/>
      <c r="G33" s="35"/>
      <c r="H33" s="79">
        <f t="shared" si="3"/>
        <v>2043</v>
      </c>
      <c r="I33" s="86">
        <f t="shared" si="2"/>
        <v>0.21442703059454082</v>
      </c>
      <c r="J33" s="277">
        <f t="shared" si="4"/>
        <v>1.71</v>
      </c>
      <c r="K33" s="277">
        <f t="shared" si="5"/>
        <v>1.46</v>
      </c>
      <c r="L33" s="278">
        <f t="shared" si="6"/>
        <v>0</v>
      </c>
      <c r="M33" s="276">
        <f t="shared" si="7"/>
        <v>0.35000000000000003</v>
      </c>
      <c r="N33" s="277">
        <f t="shared" si="8"/>
        <v>0.3</v>
      </c>
      <c r="O33" s="278">
        <f t="shared" si="9"/>
        <v>0</v>
      </c>
      <c r="P33" s="276">
        <f t="shared" si="13"/>
        <v>1.3599999999999999</v>
      </c>
      <c r="Q33" s="279">
        <f t="shared" si="13"/>
        <v>1.1599999999999999</v>
      </c>
      <c r="R33" s="278">
        <f t="shared" si="13"/>
        <v>0</v>
      </c>
      <c r="S33" s="109">
        <f t="shared" si="1"/>
        <v>529375.99999999988</v>
      </c>
      <c r="T33" s="75"/>
    </row>
    <row r="34" spans="1:26" x14ac:dyDescent="0.25">
      <c r="F34" s="35"/>
      <c r="G34" s="35"/>
      <c r="H34" s="79">
        <f t="shared" si="3"/>
        <v>2044</v>
      </c>
      <c r="I34" s="86">
        <f t="shared" si="2"/>
        <v>0.22353523332399994</v>
      </c>
      <c r="J34" s="277">
        <f t="shared" si="4"/>
        <v>1.72</v>
      </c>
      <c r="K34" s="277">
        <f t="shared" si="5"/>
        <v>1.47</v>
      </c>
      <c r="L34" s="278">
        <f t="shared" si="6"/>
        <v>0</v>
      </c>
      <c r="M34" s="276">
        <f t="shared" si="7"/>
        <v>0.35000000000000003</v>
      </c>
      <c r="N34" s="277">
        <f t="shared" si="8"/>
        <v>0.3</v>
      </c>
      <c r="O34" s="278">
        <f t="shared" si="9"/>
        <v>0</v>
      </c>
      <c r="P34" s="276">
        <f t="shared" si="13"/>
        <v>1.3699999999999999</v>
      </c>
      <c r="Q34" s="279">
        <f t="shared" si="13"/>
        <v>1.17</v>
      </c>
      <c r="R34" s="278">
        <f t="shared" si="13"/>
        <v>0</v>
      </c>
      <c r="S34" s="109">
        <f t="shared" si="1"/>
        <v>533932</v>
      </c>
      <c r="T34" s="75"/>
    </row>
    <row r="35" spans="1:26" x14ac:dyDescent="0.25">
      <c r="F35" s="35"/>
      <c r="G35" s="35"/>
      <c r="H35" s="79">
        <f t="shared" si="3"/>
        <v>2045</v>
      </c>
      <c r="I35" s="86">
        <f t="shared" si="2"/>
        <v>0.23271174757393021</v>
      </c>
      <c r="J35" s="277">
        <f t="shared" si="4"/>
        <v>1.73</v>
      </c>
      <c r="K35" s="277">
        <f t="shared" si="5"/>
        <v>1.48</v>
      </c>
      <c r="L35" s="278">
        <f t="shared" si="6"/>
        <v>0</v>
      </c>
      <c r="M35" s="276">
        <f t="shared" si="7"/>
        <v>0.35000000000000003</v>
      </c>
      <c r="N35" s="277">
        <f t="shared" si="8"/>
        <v>0.3</v>
      </c>
      <c r="O35" s="278">
        <f t="shared" si="9"/>
        <v>0</v>
      </c>
      <c r="P35" s="276">
        <f t="shared" si="13"/>
        <v>1.38</v>
      </c>
      <c r="Q35" s="279">
        <f t="shared" si="13"/>
        <v>1.18</v>
      </c>
      <c r="R35" s="278">
        <f t="shared" si="13"/>
        <v>0</v>
      </c>
      <c r="S35" s="109">
        <f t="shared" si="1"/>
        <v>538488</v>
      </c>
      <c r="T35" s="75"/>
    </row>
    <row r="36" spans="1:26" ht="15" customHeight="1" x14ac:dyDescent="0.25">
      <c r="F36" s="35"/>
      <c r="G36" s="35"/>
      <c r="H36" s="79">
        <f t="shared" si="3"/>
        <v>2046</v>
      </c>
      <c r="I36" s="86">
        <f t="shared" si="2"/>
        <v>0.24195708568073448</v>
      </c>
      <c r="J36" s="277">
        <f t="shared" si="4"/>
        <v>1.74</v>
      </c>
      <c r="K36" s="277">
        <f t="shared" si="5"/>
        <v>1.5</v>
      </c>
      <c r="L36" s="278">
        <f t="shared" si="6"/>
        <v>0</v>
      </c>
      <c r="M36" s="276">
        <f t="shared" si="7"/>
        <v>0.35000000000000003</v>
      </c>
      <c r="N36" s="277">
        <f t="shared" si="8"/>
        <v>0.3</v>
      </c>
      <c r="O36" s="278">
        <f t="shared" si="9"/>
        <v>0</v>
      </c>
      <c r="P36" s="276">
        <f t="shared" si="13"/>
        <v>1.39</v>
      </c>
      <c r="Q36" s="279">
        <f t="shared" si="13"/>
        <v>1.2</v>
      </c>
      <c r="R36" s="278">
        <f t="shared" si="13"/>
        <v>0</v>
      </c>
      <c r="S36" s="109">
        <f t="shared" si="1"/>
        <v>547556</v>
      </c>
      <c r="T36" s="75"/>
    </row>
    <row r="37" spans="1:26" x14ac:dyDescent="0.25">
      <c r="F37" s="35"/>
      <c r="G37" s="35"/>
      <c r="H37" s="79">
        <f t="shared" si="3"/>
        <v>2047</v>
      </c>
      <c r="I37" s="86">
        <f t="shared" si="2"/>
        <v>0.25127176382334038</v>
      </c>
      <c r="J37" s="277">
        <f t="shared" si="4"/>
        <v>1.76</v>
      </c>
      <c r="K37" s="277">
        <f t="shared" si="5"/>
        <v>1.51</v>
      </c>
      <c r="L37" s="278">
        <f t="shared" si="6"/>
        <v>0</v>
      </c>
      <c r="M37" s="276">
        <f t="shared" si="7"/>
        <v>0.36</v>
      </c>
      <c r="N37" s="277">
        <f t="shared" si="8"/>
        <v>0.31</v>
      </c>
      <c r="O37" s="278">
        <f t="shared" si="9"/>
        <v>0</v>
      </c>
      <c r="P37" s="276">
        <f t="shared" si="13"/>
        <v>1.4</v>
      </c>
      <c r="Q37" s="279">
        <f t="shared" si="13"/>
        <v>1.2</v>
      </c>
      <c r="R37" s="278">
        <f t="shared" si="13"/>
        <v>0</v>
      </c>
      <c r="S37" s="112">
        <f t="shared" si="1"/>
        <v>547600</v>
      </c>
      <c r="T37" s="75"/>
    </row>
    <row r="38" spans="1:26" x14ac:dyDescent="0.25">
      <c r="F38" s="35"/>
      <c r="G38" s="35"/>
      <c r="H38" s="79">
        <f t="shared" si="3"/>
        <v>2048</v>
      </c>
      <c r="I38" s="86">
        <f t="shared" si="2"/>
        <v>0.26065630205201562</v>
      </c>
      <c r="J38" s="277">
        <f t="shared" si="4"/>
        <v>1.77</v>
      </c>
      <c r="K38" s="277">
        <f t="shared" si="5"/>
        <v>1.52</v>
      </c>
      <c r="L38" s="278">
        <f t="shared" si="6"/>
        <v>0</v>
      </c>
      <c r="M38" s="276">
        <f t="shared" si="7"/>
        <v>0.36</v>
      </c>
      <c r="N38" s="277">
        <f t="shared" si="8"/>
        <v>0.31</v>
      </c>
      <c r="O38" s="278">
        <f t="shared" si="9"/>
        <v>0</v>
      </c>
      <c r="P38" s="276">
        <f t="shared" si="13"/>
        <v>1.4100000000000001</v>
      </c>
      <c r="Q38" s="279">
        <f t="shared" si="13"/>
        <v>1.21</v>
      </c>
      <c r="R38" s="278">
        <f t="shared" si="13"/>
        <v>0</v>
      </c>
      <c r="S38" s="113">
        <f t="shared" si="1"/>
        <v>552156</v>
      </c>
      <c r="T38" s="75"/>
    </row>
    <row r="39" spans="1:26" x14ac:dyDescent="0.25">
      <c r="A39" s="44"/>
      <c r="B39" s="44"/>
      <c r="C39" s="44"/>
      <c r="F39" s="35"/>
      <c r="G39" s="35"/>
      <c r="H39" s="79">
        <f t="shared" si="3"/>
        <v>2049</v>
      </c>
      <c r="I39" s="86">
        <f t="shared" si="2"/>
        <v>0.27011122431740553</v>
      </c>
      <c r="J39" s="277">
        <f t="shared" si="4"/>
        <v>1.78</v>
      </c>
      <c r="K39" s="277">
        <f t="shared" si="5"/>
        <v>1.53</v>
      </c>
      <c r="L39" s="278">
        <f t="shared" si="6"/>
        <v>0</v>
      </c>
      <c r="M39" s="276">
        <f t="shared" si="7"/>
        <v>0.36</v>
      </c>
      <c r="N39" s="277">
        <f t="shared" si="8"/>
        <v>0.31</v>
      </c>
      <c r="O39" s="278">
        <f t="shared" si="9"/>
        <v>0</v>
      </c>
      <c r="P39" s="276">
        <f t="shared" si="13"/>
        <v>1.42</v>
      </c>
      <c r="Q39" s="279">
        <f t="shared" si="13"/>
        <v>1.22</v>
      </c>
      <c r="R39" s="278">
        <f t="shared" si="13"/>
        <v>0</v>
      </c>
      <c r="S39" s="109">
        <f t="shared" si="1"/>
        <v>556712</v>
      </c>
      <c r="T39" s="75"/>
    </row>
    <row r="40" spans="1:26" x14ac:dyDescent="0.25">
      <c r="A40" s="126"/>
      <c r="B40" s="126"/>
      <c r="C40" s="126"/>
      <c r="F40" s="35"/>
      <c r="G40" s="35"/>
      <c r="H40" s="79">
        <f t="shared" si="3"/>
        <v>2050</v>
      </c>
      <c r="I40" s="86">
        <f t="shared" si="2"/>
        <v>0.27963705849978604</v>
      </c>
      <c r="J40" s="277">
        <f t="shared" si="4"/>
        <v>1.8</v>
      </c>
      <c r="K40" s="277">
        <f t="shared" si="5"/>
        <v>1.54</v>
      </c>
      <c r="L40" s="278">
        <f t="shared" si="6"/>
        <v>0</v>
      </c>
      <c r="M40" s="276">
        <f t="shared" si="7"/>
        <v>0.36</v>
      </c>
      <c r="N40" s="277">
        <f t="shared" si="8"/>
        <v>0.31</v>
      </c>
      <c r="O40" s="278">
        <f t="shared" si="9"/>
        <v>0</v>
      </c>
      <c r="P40" s="276">
        <f t="shared" si="13"/>
        <v>1.44</v>
      </c>
      <c r="Q40" s="279">
        <f t="shared" si="13"/>
        <v>1.23</v>
      </c>
      <c r="R40" s="278">
        <f t="shared" si="13"/>
        <v>0</v>
      </c>
      <c r="S40" s="109">
        <f t="shared" si="1"/>
        <v>561312</v>
      </c>
      <c r="T40" s="75"/>
    </row>
    <row r="41" spans="1:26" ht="15.75" customHeight="1" x14ac:dyDescent="0.35">
      <c r="A41" s="35" t="s">
        <v>111</v>
      </c>
      <c r="B41" s="13"/>
      <c r="C41" s="13"/>
      <c r="F41" s="35"/>
      <c r="G41" s="35"/>
      <c r="H41" s="79">
        <f t="shared" si="3"/>
        <v>2051</v>
      </c>
      <c r="I41" s="86">
        <f t="shared" si="2"/>
        <v>0.2892343364385348</v>
      </c>
      <c r="J41" s="277">
        <f t="shared" si="4"/>
        <v>1.81</v>
      </c>
      <c r="K41" s="277">
        <f t="shared" si="5"/>
        <v>1.55</v>
      </c>
      <c r="L41" s="278">
        <f t="shared" si="6"/>
        <v>0</v>
      </c>
      <c r="M41" s="276">
        <f t="shared" si="7"/>
        <v>0.37</v>
      </c>
      <c r="N41" s="277">
        <f t="shared" si="8"/>
        <v>0.31</v>
      </c>
      <c r="O41" s="278">
        <f t="shared" si="9"/>
        <v>0</v>
      </c>
      <c r="P41" s="276">
        <f t="shared" si="13"/>
        <v>1.44</v>
      </c>
      <c r="Q41" s="279">
        <f t="shared" si="13"/>
        <v>1.24</v>
      </c>
      <c r="R41" s="278">
        <f t="shared" si="13"/>
        <v>0</v>
      </c>
      <c r="S41" s="109">
        <f t="shared" si="1"/>
        <v>565824</v>
      </c>
      <c r="T41" s="94"/>
      <c r="U41" s="94"/>
      <c r="V41" s="94"/>
      <c r="W41" s="94"/>
      <c r="X41" s="94"/>
      <c r="Y41" s="94"/>
      <c r="Z41" s="94"/>
    </row>
    <row r="42" spans="1:26" x14ac:dyDescent="0.25">
      <c r="A42" s="191" t="s">
        <v>36</v>
      </c>
      <c r="B42" s="300" t="s">
        <v>112</v>
      </c>
      <c r="C42" s="189">
        <v>7.4999999999999997E-3</v>
      </c>
      <c r="D42" s="267" t="s">
        <v>113</v>
      </c>
      <c r="F42" s="35"/>
      <c r="G42" s="35"/>
      <c r="H42" s="79">
        <f t="shared" si="3"/>
        <v>2052</v>
      </c>
      <c r="I42" s="86">
        <f t="shared" si="2"/>
        <v>0.29890359396182387</v>
      </c>
      <c r="J42" s="277">
        <f t="shared" si="4"/>
        <v>1.82</v>
      </c>
      <c r="K42" s="277">
        <f t="shared" si="5"/>
        <v>1.56</v>
      </c>
      <c r="L42" s="278">
        <f t="shared" si="6"/>
        <v>0</v>
      </c>
      <c r="M42" s="276">
        <f t="shared" si="7"/>
        <v>0.37</v>
      </c>
      <c r="N42" s="277">
        <f t="shared" si="8"/>
        <v>0.32</v>
      </c>
      <c r="O42" s="278">
        <f t="shared" si="9"/>
        <v>0</v>
      </c>
      <c r="P42" s="276">
        <f t="shared" si="13"/>
        <v>1.4500000000000002</v>
      </c>
      <c r="Q42" s="279">
        <f t="shared" si="13"/>
        <v>1.24</v>
      </c>
      <c r="R42" s="278">
        <f t="shared" si="13"/>
        <v>0</v>
      </c>
      <c r="S42" s="109">
        <f t="shared" si="1"/>
        <v>565868</v>
      </c>
      <c r="T42" s="94"/>
      <c r="U42" s="94"/>
      <c r="V42" s="94"/>
      <c r="W42" s="94"/>
      <c r="X42" s="94"/>
      <c r="Y42" s="94"/>
      <c r="Z42" s="94"/>
    </row>
    <row r="43" spans="1:26" x14ac:dyDescent="0.25">
      <c r="A43" s="192" t="s">
        <v>37</v>
      </c>
      <c r="B43" s="267" t="s">
        <v>116</v>
      </c>
      <c r="F43" s="35"/>
      <c r="G43" s="35"/>
      <c r="H43" s="79">
        <f t="shared" si="3"/>
        <v>2053</v>
      </c>
      <c r="I43" s="86">
        <f t="shared" si="2"/>
        <v>0.30864537091653754</v>
      </c>
      <c r="J43" s="277">
        <f t="shared" si="4"/>
        <v>1.84</v>
      </c>
      <c r="K43" s="277">
        <f t="shared" si="5"/>
        <v>1.58</v>
      </c>
      <c r="L43" s="278">
        <f t="shared" si="6"/>
        <v>0</v>
      </c>
      <c r="M43" s="276">
        <f t="shared" si="7"/>
        <v>0.37</v>
      </c>
      <c r="N43" s="277">
        <f t="shared" si="8"/>
        <v>0.32</v>
      </c>
      <c r="O43" s="278">
        <f t="shared" si="9"/>
        <v>0</v>
      </c>
      <c r="P43" s="276">
        <f t="shared" si="13"/>
        <v>1.4700000000000002</v>
      </c>
      <c r="Q43" s="279">
        <f t="shared" si="13"/>
        <v>1.26</v>
      </c>
      <c r="R43" s="278">
        <f t="shared" si="13"/>
        <v>0</v>
      </c>
      <c r="S43" s="109">
        <f t="shared" si="1"/>
        <v>574980</v>
      </c>
      <c r="T43" s="94"/>
      <c r="U43" s="94"/>
      <c r="V43" s="94"/>
      <c r="W43" s="94"/>
      <c r="X43" s="94"/>
      <c r="Y43" s="94"/>
      <c r="Z43" s="94"/>
    </row>
    <row r="44" spans="1:26" x14ac:dyDescent="0.25">
      <c r="A44" s="9"/>
      <c r="B44" s="43"/>
      <c r="C44" s="43"/>
      <c r="F44" s="35"/>
      <c r="G44" s="37"/>
      <c r="H44" s="79">
        <f t="shared" ref="H44:H47" si="14">H43+1</f>
        <v>2054</v>
      </c>
      <c r="I44" s="86">
        <f t="shared" ref="I44:I47" si="15">((1+$C$42)^(H44-$H$7))-1</f>
        <v>0.31846021119841161</v>
      </c>
      <c r="J44" s="277">
        <f t="shared" ref="J44:J47" si="16">ROUNDUP($J$7*(1+I44),2)</f>
        <v>1.85</v>
      </c>
      <c r="K44" s="277">
        <f t="shared" ref="K44:K47" si="17">ROUNDUP($K$7*(1+I44),2)</f>
        <v>1.59</v>
      </c>
      <c r="L44" s="278">
        <f t="shared" ref="L44:L47" si="18">ROUNDUP($L$7*(1+I44),2)</f>
        <v>0</v>
      </c>
      <c r="M44" s="276">
        <f t="shared" ref="M44:M47" si="19">ROUNDUP(J44*$C$23,2)</f>
        <v>0.37</v>
      </c>
      <c r="N44" s="277">
        <f t="shared" ref="N44:N47" si="20">ROUNDUP(K44*$C$23,2)</f>
        <v>0.32</v>
      </c>
      <c r="O44" s="278">
        <f t="shared" ref="O44:O47" si="21">ROUNDUP(L44*$C$23,2)</f>
        <v>0</v>
      </c>
      <c r="P44" s="276">
        <f t="shared" ref="P44:P47" si="22">ABS(J44-M44)</f>
        <v>1.48</v>
      </c>
      <c r="Q44" s="279">
        <f t="shared" ref="Q44:Q47" si="23">ABS(K44-N44)</f>
        <v>1.27</v>
      </c>
      <c r="R44" s="278">
        <f t="shared" ref="R44:R47" si="24">ABS(L44-O44)</f>
        <v>0</v>
      </c>
      <c r="S44" s="109">
        <f t="shared" ref="S44:S47" si="25">((P44*$B$5)+(Q44*$B$6)+(R44*$B$7))</f>
        <v>579536</v>
      </c>
      <c r="T44" s="75"/>
    </row>
    <row r="45" spans="1:26" ht="15" customHeight="1" x14ac:dyDescent="0.25">
      <c r="A45" s="43"/>
      <c r="B45" s="43"/>
      <c r="C45" s="43"/>
      <c r="F45" s="35"/>
      <c r="G45" s="37"/>
      <c r="H45" s="79">
        <f t="shared" si="14"/>
        <v>2055</v>
      </c>
      <c r="I45" s="86">
        <f t="shared" si="15"/>
        <v>0.32834866278239994</v>
      </c>
      <c r="J45" s="277">
        <f t="shared" si="16"/>
        <v>1.86</v>
      </c>
      <c r="K45" s="277">
        <f t="shared" si="17"/>
        <v>1.6</v>
      </c>
      <c r="L45" s="278">
        <f t="shared" si="18"/>
        <v>0</v>
      </c>
      <c r="M45" s="276">
        <f t="shared" si="19"/>
        <v>0.38</v>
      </c>
      <c r="N45" s="277">
        <f t="shared" si="20"/>
        <v>0.32</v>
      </c>
      <c r="O45" s="278">
        <f t="shared" si="21"/>
        <v>0</v>
      </c>
      <c r="P45" s="276">
        <f t="shared" si="22"/>
        <v>1.48</v>
      </c>
      <c r="Q45" s="279">
        <f t="shared" si="23"/>
        <v>1.28</v>
      </c>
      <c r="R45" s="278">
        <f t="shared" si="24"/>
        <v>0</v>
      </c>
      <c r="S45" s="109">
        <f t="shared" si="25"/>
        <v>584048</v>
      </c>
      <c r="T45" s="75"/>
    </row>
    <row r="46" spans="1:26" x14ac:dyDescent="0.25">
      <c r="A46" s="9"/>
      <c r="B46" s="43"/>
      <c r="C46" s="43"/>
      <c r="F46" s="35"/>
      <c r="G46" s="37"/>
      <c r="H46" s="79">
        <f t="shared" si="14"/>
        <v>2056</v>
      </c>
      <c r="I46" s="86">
        <f t="shared" si="15"/>
        <v>0.33831127775326819</v>
      </c>
      <c r="J46" s="277">
        <f t="shared" si="16"/>
        <v>1.8800000000000001</v>
      </c>
      <c r="K46" s="277">
        <f t="shared" si="17"/>
        <v>1.61</v>
      </c>
      <c r="L46" s="278">
        <f t="shared" si="18"/>
        <v>0</v>
      </c>
      <c r="M46" s="276">
        <f t="shared" si="19"/>
        <v>0.38</v>
      </c>
      <c r="N46" s="277">
        <f t="shared" si="20"/>
        <v>0.33</v>
      </c>
      <c r="O46" s="278">
        <f t="shared" si="21"/>
        <v>0</v>
      </c>
      <c r="P46" s="276">
        <f t="shared" si="22"/>
        <v>1.5</v>
      </c>
      <c r="Q46" s="279">
        <f t="shared" si="23"/>
        <v>1.28</v>
      </c>
      <c r="R46" s="278">
        <f t="shared" si="24"/>
        <v>0</v>
      </c>
      <c r="S46" s="109">
        <f t="shared" si="25"/>
        <v>584136</v>
      </c>
      <c r="T46" s="75"/>
    </row>
    <row r="47" spans="1:26" ht="15.75" thickBot="1" x14ac:dyDescent="0.3">
      <c r="A47" s="43"/>
      <c r="B47" s="43"/>
      <c r="C47" s="43"/>
      <c r="F47" s="35"/>
      <c r="G47" s="37"/>
      <c r="H47" s="329">
        <f t="shared" si="14"/>
        <v>2057</v>
      </c>
      <c r="I47" s="377">
        <f t="shared" si="15"/>
        <v>0.34834861233641767</v>
      </c>
      <c r="J47" s="378">
        <f t="shared" si="16"/>
        <v>1.89</v>
      </c>
      <c r="K47" s="378">
        <f t="shared" si="17"/>
        <v>1.62</v>
      </c>
      <c r="L47" s="379">
        <f t="shared" si="18"/>
        <v>0</v>
      </c>
      <c r="M47" s="380">
        <f t="shared" si="19"/>
        <v>0.38</v>
      </c>
      <c r="N47" s="378">
        <f t="shared" si="20"/>
        <v>0.33</v>
      </c>
      <c r="O47" s="379">
        <f t="shared" si="21"/>
        <v>0</v>
      </c>
      <c r="P47" s="380">
        <f t="shared" si="22"/>
        <v>1.5099999999999998</v>
      </c>
      <c r="Q47" s="381">
        <f t="shared" si="23"/>
        <v>1.29</v>
      </c>
      <c r="R47" s="379">
        <f t="shared" si="24"/>
        <v>0</v>
      </c>
      <c r="S47" s="95">
        <f t="shared" si="25"/>
        <v>588692</v>
      </c>
      <c r="T47" s="75"/>
    </row>
    <row r="48" spans="1:26" ht="15.75" thickBot="1" x14ac:dyDescent="0.3">
      <c r="A48" s="43"/>
      <c r="B48" s="43"/>
      <c r="C48" s="43"/>
      <c r="F48" s="35"/>
      <c r="G48" s="9"/>
      <c r="H48" s="97"/>
      <c r="I48" s="98"/>
      <c r="J48" s="97"/>
      <c r="K48" s="99"/>
      <c r="L48" s="99"/>
      <c r="M48" s="99"/>
      <c r="N48" s="99"/>
      <c r="O48" s="99"/>
      <c r="P48" s="9"/>
      <c r="R48" s="204" t="s">
        <v>10</v>
      </c>
      <c r="S48" s="95">
        <f>SUM(S7:S43)</f>
        <v>14077700</v>
      </c>
      <c r="T48" s="75"/>
    </row>
    <row r="49" spans="1:20" x14ac:dyDescent="0.25">
      <c r="A49" s="9"/>
      <c r="B49" s="43"/>
      <c r="C49" s="43"/>
      <c r="F49" s="35"/>
      <c r="G49" s="9"/>
      <c r="H49" s="97"/>
      <c r="I49" s="98"/>
      <c r="J49" s="97"/>
      <c r="K49" s="99"/>
      <c r="L49" s="99"/>
      <c r="M49" s="99"/>
      <c r="N49" s="99"/>
      <c r="O49" s="99"/>
      <c r="P49" s="9"/>
      <c r="T49" s="75"/>
    </row>
    <row r="50" spans="1:20" x14ac:dyDescent="0.25">
      <c r="A50" s="43"/>
      <c r="B50" s="43"/>
      <c r="C50" s="43"/>
      <c r="G50" s="9"/>
      <c r="T50" s="75"/>
    </row>
    <row r="51" spans="1:20" x14ac:dyDescent="0.25">
      <c r="A51" s="9"/>
      <c r="B51" s="43"/>
      <c r="C51" s="43"/>
      <c r="G51" s="9"/>
      <c r="T51" s="75"/>
    </row>
    <row r="52" spans="1:20" x14ac:dyDescent="0.25">
      <c r="A52" s="43"/>
      <c r="B52" s="43"/>
      <c r="C52" s="43"/>
      <c r="G52" s="9"/>
      <c r="H52" s="97"/>
      <c r="I52" s="98"/>
      <c r="J52" s="97"/>
      <c r="K52" s="99"/>
      <c r="L52" s="99"/>
      <c r="M52" s="99"/>
      <c r="N52" s="99"/>
      <c r="O52" s="99"/>
      <c r="P52" s="9"/>
      <c r="T52" s="75"/>
    </row>
    <row r="53" spans="1:20" x14ac:dyDescent="0.25">
      <c r="A53" s="9"/>
      <c r="B53" s="43"/>
      <c r="C53" s="43"/>
      <c r="G53" s="9"/>
      <c r="H53" s="97"/>
      <c r="I53" s="98"/>
      <c r="J53" s="97"/>
      <c r="K53" s="99"/>
      <c r="L53" s="99"/>
      <c r="M53" s="99"/>
      <c r="N53" s="99"/>
      <c r="O53" s="99"/>
      <c r="P53" s="9"/>
      <c r="T53" s="75"/>
    </row>
    <row r="54" spans="1:20" x14ac:dyDescent="0.25">
      <c r="A54" s="43"/>
      <c r="B54" s="43"/>
      <c r="C54" s="43"/>
      <c r="G54" s="9"/>
      <c r="J54" s="99"/>
      <c r="K54" s="99"/>
      <c r="L54" s="99"/>
      <c r="M54" s="99"/>
      <c r="N54" s="99"/>
      <c r="O54" s="99"/>
      <c r="P54" s="9"/>
      <c r="T54" s="75"/>
    </row>
    <row r="55" spans="1:20" x14ac:dyDescent="0.25">
      <c r="A55" s="9"/>
      <c r="B55" s="43"/>
      <c r="C55" s="43"/>
      <c r="G55" s="9"/>
      <c r="J55" s="97"/>
      <c r="K55" s="99"/>
      <c r="L55" s="99"/>
      <c r="M55" s="99"/>
      <c r="N55" s="99"/>
      <c r="O55" s="99"/>
      <c r="P55" s="9"/>
      <c r="T55" s="75"/>
    </row>
    <row r="56" spans="1:20" x14ac:dyDescent="0.25">
      <c r="A56" s="43"/>
      <c r="B56" s="43"/>
      <c r="C56" s="43"/>
      <c r="G56" s="9"/>
      <c r="J56" s="97"/>
      <c r="K56" s="99"/>
      <c r="L56" s="99"/>
      <c r="M56" s="99"/>
      <c r="N56" s="99"/>
      <c r="O56" s="99"/>
      <c r="P56" s="9"/>
      <c r="T56" s="75"/>
    </row>
    <row r="57" spans="1:20" x14ac:dyDescent="0.25">
      <c r="A57" s="43"/>
      <c r="B57" s="43"/>
      <c r="C57" s="43"/>
      <c r="G57" s="9"/>
      <c r="J57" s="97"/>
      <c r="K57" s="99"/>
      <c r="L57" s="99"/>
      <c r="M57" s="99"/>
      <c r="N57" s="99"/>
      <c r="O57" s="99"/>
      <c r="P57" s="9"/>
      <c r="T57" s="75"/>
    </row>
    <row r="58" spans="1:20" x14ac:dyDescent="0.25">
      <c r="A58" s="9"/>
      <c r="B58" s="43"/>
      <c r="C58" s="43"/>
      <c r="G58" s="9"/>
      <c r="J58" s="97"/>
      <c r="K58" s="99"/>
      <c r="L58" s="99"/>
      <c r="M58" s="99"/>
      <c r="N58" s="99"/>
      <c r="O58" s="99"/>
      <c r="P58" s="9"/>
      <c r="T58" s="75"/>
    </row>
    <row r="59" spans="1:20" x14ac:dyDescent="0.25">
      <c r="A59" s="43"/>
      <c r="B59" s="43"/>
      <c r="C59" s="43"/>
      <c r="G59" s="9"/>
      <c r="J59" s="97"/>
      <c r="K59" s="99"/>
      <c r="L59" s="99"/>
      <c r="M59" s="99"/>
      <c r="N59" s="99"/>
      <c r="O59" s="99"/>
      <c r="P59" s="9"/>
      <c r="T59" s="75"/>
    </row>
    <row r="60" spans="1:20" x14ac:dyDescent="0.25">
      <c r="A60" s="9"/>
      <c r="B60" s="43"/>
      <c r="C60" s="43"/>
      <c r="G60" s="9"/>
      <c r="J60" s="97"/>
      <c r="K60" s="99"/>
      <c r="L60" s="99"/>
      <c r="M60" s="99"/>
      <c r="N60" s="99"/>
      <c r="O60" s="99"/>
      <c r="P60" s="9"/>
      <c r="Q60" s="9"/>
      <c r="T60" s="75"/>
    </row>
    <row r="61" spans="1:20" x14ac:dyDescent="0.25">
      <c r="A61" s="43"/>
      <c r="B61" s="43"/>
      <c r="C61" s="43"/>
      <c r="G61" s="9"/>
      <c r="H61" s="97"/>
      <c r="I61" s="98"/>
      <c r="J61" s="97"/>
      <c r="K61" s="99"/>
      <c r="L61" s="99"/>
      <c r="M61" s="99"/>
      <c r="N61" s="99"/>
      <c r="O61" s="99"/>
      <c r="P61" s="9"/>
      <c r="T61" s="75"/>
    </row>
    <row r="62" spans="1:20" x14ac:dyDescent="0.25">
      <c r="A62" s="9"/>
      <c r="B62" s="43"/>
      <c r="C62" s="43"/>
      <c r="G62" s="9"/>
      <c r="H62" s="97"/>
      <c r="I62" s="100"/>
      <c r="J62" s="101"/>
      <c r="K62" s="101"/>
      <c r="L62" s="99"/>
      <c r="M62" s="99"/>
      <c r="N62" s="99"/>
      <c r="O62" s="99"/>
      <c r="P62" s="102"/>
      <c r="Q62" s="75"/>
      <c r="R62" s="75"/>
      <c r="S62" s="75"/>
      <c r="T62" s="75"/>
    </row>
    <row r="63" spans="1:20" ht="15" customHeight="1" x14ac:dyDescent="0.25">
      <c r="A63" s="43"/>
      <c r="B63" s="43"/>
      <c r="C63" s="43"/>
      <c r="G63" s="9"/>
      <c r="H63" s="97"/>
      <c r="I63" s="100"/>
      <c r="J63" s="97"/>
      <c r="K63" s="101"/>
      <c r="L63" s="99"/>
      <c r="M63" s="99"/>
      <c r="N63" s="99"/>
      <c r="O63" s="99"/>
      <c r="P63" s="103"/>
      <c r="Q63" s="35"/>
      <c r="R63" s="35"/>
      <c r="S63" s="35"/>
      <c r="T63" s="75"/>
    </row>
    <row r="64" spans="1:20" x14ac:dyDescent="0.25">
      <c r="A64" s="9"/>
      <c r="B64" s="43"/>
      <c r="C64" s="43"/>
      <c r="G64" s="9"/>
      <c r="H64" s="97"/>
      <c r="I64" s="100"/>
      <c r="J64" s="97"/>
      <c r="K64" s="101"/>
      <c r="L64" s="99"/>
      <c r="M64" s="99"/>
      <c r="N64" s="99"/>
      <c r="O64" s="99"/>
      <c r="P64" s="37"/>
      <c r="Q64" s="35"/>
      <c r="R64" s="35"/>
      <c r="S64" s="35"/>
      <c r="T64" s="75"/>
    </row>
    <row r="65" spans="1:20" x14ac:dyDescent="0.25">
      <c r="A65" s="9"/>
      <c r="B65" s="9"/>
      <c r="C65" s="9"/>
      <c r="G65" s="9"/>
      <c r="H65" s="97"/>
      <c r="I65" s="100"/>
      <c r="J65" s="97"/>
      <c r="K65" s="101"/>
      <c r="L65" s="99"/>
      <c r="M65" s="99"/>
      <c r="N65" s="99"/>
      <c r="O65" s="99"/>
      <c r="P65" s="37"/>
      <c r="Q65" s="35"/>
      <c r="R65" s="35"/>
      <c r="S65" s="35"/>
      <c r="T65" s="35"/>
    </row>
    <row r="66" spans="1:20" x14ac:dyDescent="0.25">
      <c r="A66" s="9"/>
      <c r="B66" s="9"/>
      <c r="C66" s="9"/>
      <c r="G66" s="9"/>
      <c r="H66" s="97"/>
      <c r="I66" s="100"/>
      <c r="J66" s="97"/>
      <c r="K66" s="101"/>
      <c r="L66" s="99"/>
      <c r="M66" s="99"/>
      <c r="N66" s="99"/>
      <c r="O66" s="99"/>
      <c r="P66" s="37"/>
      <c r="Q66" s="35"/>
      <c r="R66" s="35"/>
      <c r="S66" s="35"/>
      <c r="T66" s="35"/>
    </row>
    <row r="67" spans="1:20" x14ac:dyDescent="0.25">
      <c r="A67" s="9"/>
      <c r="B67" s="9"/>
      <c r="C67" s="9"/>
      <c r="G67" s="9"/>
      <c r="H67" s="97"/>
      <c r="I67" s="100"/>
      <c r="J67" s="97"/>
      <c r="K67" s="101"/>
      <c r="L67" s="99"/>
      <c r="M67" s="99"/>
      <c r="N67" s="99"/>
      <c r="O67" s="99"/>
      <c r="P67" s="37"/>
      <c r="Q67" s="35"/>
      <c r="R67" s="35"/>
      <c r="S67" s="35"/>
      <c r="T67" s="35"/>
    </row>
    <row r="68" spans="1:20" x14ac:dyDescent="0.25">
      <c r="A68" s="9"/>
      <c r="B68" s="9"/>
      <c r="C68" s="9"/>
      <c r="G68" s="9"/>
      <c r="H68" s="97"/>
      <c r="I68" s="100"/>
      <c r="J68" s="97"/>
      <c r="K68" s="101"/>
      <c r="L68" s="99"/>
      <c r="M68" s="99"/>
      <c r="N68" s="99"/>
      <c r="O68" s="99"/>
      <c r="P68" s="37"/>
      <c r="Q68" s="35"/>
      <c r="R68" s="35"/>
      <c r="S68" s="35"/>
      <c r="T68" s="35"/>
    </row>
    <row r="69" spans="1:20" x14ac:dyDescent="0.25">
      <c r="G69" s="9"/>
      <c r="H69" s="97"/>
      <c r="I69" s="100"/>
      <c r="J69" s="97"/>
      <c r="K69" s="101"/>
      <c r="L69" s="99"/>
      <c r="M69" s="99"/>
      <c r="N69" s="99"/>
      <c r="O69" s="99"/>
      <c r="P69" s="9"/>
      <c r="T69" s="35"/>
    </row>
    <row r="70" spans="1:20" x14ac:dyDescent="0.25">
      <c r="G70" s="9"/>
      <c r="H70" s="97"/>
      <c r="I70" s="100"/>
      <c r="J70" s="97"/>
      <c r="K70" s="101"/>
      <c r="L70" s="99"/>
      <c r="M70" s="99"/>
      <c r="N70" s="99"/>
      <c r="O70" s="99"/>
      <c r="P70" s="9"/>
      <c r="T70" s="35"/>
    </row>
    <row r="71" spans="1:20" x14ac:dyDescent="0.25">
      <c r="G71" s="9"/>
      <c r="H71" s="97"/>
      <c r="I71" s="100"/>
      <c r="J71" s="97"/>
      <c r="K71" s="101"/>
      <c r="L71" s="99"/>
      <c r="M71" s="99"/>
      <c r="N71" s="99"/>
      <c r="O71" s="99"/>
      <c r="P71" s="9"/>
      <c r="T71" s="35"/>
    </row>
    <row r="72" spans="1:20" x14ac:dyDescent="0.25">
      <c r="G72" s="9"/>
      <c r="H72" s="97"/>
      <c r="I72" s="100"/>
      <c r="J72" s="97"/>
      <c r="K72" s="101"/>
      <c r="L72" s="99"/>
      <c r="M72" s="99"/>
      <c r="N72" s="99"/>
      <c r="O72" s="99"/>
      <c r="P72" s="104"/>
      <c r="Q72" s="77"/>
      <c r="R72" s="75"/>
      <c r="S72" s="75"/>
      <c r="T72" s="35"/>
    </row>
    <row r="73" spans="1:20" x14ac:dyDescent="0.25">
      <c r="G73" s="9"/>
      <c r="H73" s="97"/>
      <c r="I73" s="100"/>
      <c r="J73" s="97"/>
      <c r="K73" s="101"/>
      <c r="L73" s="99"/>
      <c r="M73" s="99"/>
      <c r="N73" s="99"/>
      <c r="O73" s="99"/>
      <c r="P73" s="76"/>
      <c r="Q73" s="77"/>
      <c r="R73" s="75"/>
      <c r="S73" s="76"/>
      <c r="T73" s="35"/>
    </row>
    <row r="74" spans="1:20" x14ac:dyDescent="0.25">
      <c r="G74" s="9"/>
      <c r="H74" s="97"/>
      <c r="I74" s="100"/>
      <c r="J74" s="97"/>
      <c r="K74" s="101"/>
      <c r="L74" s="99"/>
      <c r="M74" s="99"/>
      <c r="N74" s="99"/>
      <c r="O74" s="99"/>
      <c r="P74" s="76"/>
      <c r="Q74" s="77"/>
      <c r="R74" s="75"/>
      <c r="S74" s="75"/>
      <c r="T74" s="35"/>
    </row>
    <row r="75" spans="1:20" x14ac:dyDescent="0.25">
      <c r="G75" s="9"/>
      <c r="H75" s="97"/>
      <c r="I75" s="100"/>
      <c r="J75" s="97"/>
      <c r="K75" s="101"/>
      <c r="L75" s="99"/>
      <c r="M75" s="99"/>
      <c r="N75" s="99"/>
      <c r="O75" s="99"/>
      <c r="P75" s="76"/>
      <c r="Q75" s="75"/>
      <c r="R75" s="75"/>
      <c r="S75" s="75"/>
      <c r="T75" s="35"/>
    </row>
    <row r="76" spans="1:20" x14ac:dyDescent="0.25">
      <c r="G76" s="9"/>
      <c r="H76" s="97"/>
      <c r="I76" s="100"/>
      <c r="J76" s="97"/>
      <c r="K76" s="101"/>
      <c r="L76" s="99"/>
      <c r="M76" s="99"/>
      <c r="N76" s="99"/>
      <c r="O76" s="99"/>
      <c r="P76" s="76"/>
      <c r="Q76" s="75"/>
      <c r="R76" s="75"/>
      <c r="S76" s="75"/>
    </row>
    <row r="77" spans="1:20" x14ac:dyDescent="0.25">
      <c r="G77" s="9"/>
      <c r="H77" s="105"/>
      <c r="I77" s="9"/>
      <c r="J77" s="9"/>
      <c r="K77" s="9"/>
      <c r="L77" s="9"/>
      <c r="M77" s="9"/>
      <c r="N77" s="9"/>
      <c r="O77" s="9"/>
      <c r="P77" s="76"/>
      <c r="Q77" s="75"/>
      <c r="R77" s="75"/>
      <c r="S77" s="75"/>
    </row>
    <row r="78" spans="1:20" x14ac:dyDescent="0.25">
      <c r="G78" s="9"/>
      <c r="H78" s="9"/>
      <c r="I78" s="9"/>
      <c r="J78" s="9"/>
      <c r="K78" s="9"/>
      <c r="L78" s="9"/>
      <c r="M78" s="9"/>
      <c r="N78" s="9"/>
      <c r="O78" s="9"/>
      <c r="P78" s="76"/>
      <c r="Q78" s="75"/>
      <c r="R78" s="75"/>
      <c r="S78" s="75"/>
    </row>
    <row r="79" spans="1:20" x14ac:dyDescent="0.25"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20" x14ac:dyDescent="0.25">
      <c r="G80" s="9"/>
    </row>
    <row r="81" spans="7:7" x14ac:dyDescent="0.25">
      <c r="G81" s="9"/>
    </row>
  </sheetData>
  <mergeCells count="20">
    <mergeCell ref="A14:B15"/>
    <mergeCell ref="C14:C15"/>
    <mergeCell ref="A22:C22"/>
    <mergeCell ref="A23:B23"/>
    <mergeCell ref="A25:F27"/>
    <mergeCell ref="H4:L4"/>
    <mergeCell ref="M4:O4"/>
    <mergeCell ref="P4:R4"/>
    <mergeCell ref="S4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35" right="0.2" top="0.75" bottom="0.75" header="0.3" footer="0.3"/>
  <pageSetup paperSize="133"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B0A4A-1733-481C-826F-BA0DE5C29D5B}">
  <sheetPr>
    <pageSetUpPr fitToPage="1"/>
  </sheetPr>
  <dimension ref="A1:Z81"/>
  <sheetViews>
    <sheetView view="pageBreakPreview" zoomScale="55" zoomScaleNormal="90" zoomScaleSheetLayoutView="55" workbookViewId="0">
      <selection activeCell="L8" sqref="L8"/>
    </sheetView>
  </sheetViews>
  <sheetFormatPr defaultRowHeight="15" x14ac:dyDescent="0.25"/>
  <cols>
    <col min="1" max="1" width="13.85546875" style="267" customWidth="1"/>
    <col min="2" max="2" width="14.5703125" style="267" customWidth="1"/>
    <col min="3" max="3" width="14.42578125" style="267" customWidth="1"/>
    <col min="4" max="4" width="11.85546875" style="267" customWidth="1"/>
    <col min="5" max="5" width="14" style="267" customWidth="1"/>
    <col min="6" max="8" width="9.140625" style="267"/>
    <col min="9" max="9" width="28.7109375" style="267" customWidth="1"/>
    <col min="10" max="15" width="14.7109375" style="267" customWidth="1"/>
    <col min="16" max="18" width="14.28515625" style="267" customWidth="1"/>
    <col min="19" max="19" width="19" style="267" customWidth="1"/>
    <col min="20" max="20" width="15" style="267" customWidth="1"/>
    <col min="21" max="21" width="16.140625" style="267" customWidth="1"/>
    <col min="22" max="22" width="16.85546875" style="267" customWidth="1"/>
    <col min="23" max="23" width="15" style="267" customWidth="1"/>
    <col min="24" max="24" width="34.5703125" style="267" customWidth="1"/>
    <col min="25" max="16384" width="9.140625" style="267"/>
  </cols>
  <sheetData>
    <row r="1" spans="1:24" ht="15.75" x14ac:dyDescent="0.25">
      <c r="A1" s="62" t="s">
        <v>163</v>
      </c>
    </row>
    <row r="2" spans="1:24" ht="15.75" x14ac:dyDescent="0.25">
      <c r="A2" s="62" t="s">
        <v>8</v>
      </c>
      <c r="B2" s="35"/>
      <c r="C2" s="35"/>
      <c r="D2" s="35"/>
      <c r="E2" s="35"/>
      <c r="F2" s="3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4" ht="15.75" thickBot="1" x14ac:dyDescent="0.3">
      <c r="A3" s="37"/>
      <c r="B3" s="37"/>
      <c r="C3" s="201"/>
      <c r="D3" s="202"/>
      <c r="E3" s="202"/>
      <c r="F3" s="3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4" ht="15.75" thickBot="1" x14ac:dyDescent="0.3">
      <c r="A4" s="63" t="s">
        <v>5</v>
      </c>
      <c r="B4" s="64" t="s">
        <v>267</v>
      </c>
      <c r="C4" s="65"/>
      <c r="D4" s="37"/>
      <c r="E4" s="35"/>
      <c r="F4" s="35"/>
      <c r="H4" s="552" t="s">
        <v>118</v>
      </c>
      <c r="I4" s="553"/>
      <c r="J4" s="553"/>
      <c r="K4" s="553"/>
      <c r="L4" s="554"/>
      <c r="M4" s="552" t="s">
        <v>119</v>
      </c>
      <c r="N4" s="553"/>
      <c r="O4" s="554"/>
      <c r="P4" s="552" t="s">
        <v>120</v>
      </c>
      <c r="Q4" s="553"/>
      <c r="R4" s="554"/>
      <c r="S4" s="560" t="s">
        <v>268</v>
      </c>
      <c r="T4" s="75"/>
    </row>
    <row r="5" spans="1:24" ht="17.25" x14ac:dyDescent="0.25">
      <c r="A5" s="66" t="s">
        <v>191</v>
      </c>
      <c r="B5" s="67">
        <v>4400</v>
      </c>
      <c r="C5" s="68"/>
      <c r="D5" s="37"/>
      <c r="E5" s="35"/>
      <c r="F5" s="35"/>
      <c r="H5" s="563" t="s">
        <v>4</v>
      </c>
      <c r="I5" s="565" t="s">
        <v>117</v>
      </c>
      <c r="J5" s="567" t="s">
        <v>12</v>
      </c>
      <c r="K5" s="567" t="s">
        <v>13</v>
      </c>
      <c r="L5" s="555" t="s">
        <v>34</v>
      </c>
      <c r="M5" s="569" t="s">
        <v>12</v>
      </c>
      <c r="N5" s="571" t="s">
        <v>13</v>
      </c>
      <c r="O5" s="573" t="s">
        <v>34</v>
      </c>
      <c r="P5" s="563" t="s">
        <v>12</v>
      </c>
      <c r="Q5" s="567" t="s">
        <v>13</v>
      </c>
      <c r="R5" s="555" t="s">
        <v>14</v>
      </c>
      <c r="S5" s="561"/>
      <c r="T5" s="75"/>
    </row>
    <row r="6" spans="1:24" ht="18" thickBot="1" x14ac:dyDescent="0.3">
      <c r="A6" s="69" t="s">
        <v>192</v>
      </c>
      <c r="B6" s="70">
        <v>451200</v>
      </c>
      <c r="C6" s="68"/>
      <c r="D6" s="37"/>
      <c r="E6" s="35"/>
      <c r="F6" s="35"/>
      <c r="H6" s="564"/>
      <c r="I6" s="566"/>
      <c r="J6" s="568"/>
      <c r="K6" s="568"/>
      <c r="L6" s="556"/>
      <c r="M6" s="570"/>
      <c r="N6" s="572"/>
      <c r="O6" s="574"/>
      <c r="P6" s="564"/>
      <c r="Q6" s="568"/>
      <c r="R6" s="556"/>
      <c r="S6" s="562"/>
      <c r="T6" s="75"/>
      <c r="W6" s="9"/>
      <c r="X6" s="9"/>
    </row>
    <row r="7" spans="1:24" ht="18" thickBot="1" x14ac:dyDescent="0.3">
      <c r="A7" s="71" t="s">
        <v>193</v>
      </c>
      <c r="B7" s="72">
        <v>9600000</v>
      </c>
      <c r="C7" s="68"/>
      <c r="D7" s="37"/>
      <c r="E7" s="35"/>
      <c r="F7" s="35"/>
      <c r="H7" s="78">
        <v>2017</v>
      </c>
      <c r="I7" s="200">
        <v>0</v>
      </c>
      <c r="J7" s="274">
        <f>C17</f>
        <v>4.2</v>
      </c>
      <c r="K7" s="274">
        <f>C18</f>
        <v>2.8</v>
      </c>
      <c r="L7" s="275">
        <f>C19</f>
        <v>0.1</v>
      </c>
      <c r="M7" s="273">
        <f t="shared" ref="M7:O9" si="0">ROUNDUP(J7*$C$23,2)</f>
        <v>3.2399999999999998</v>
      </c>
      <c r="N7" s="274">
        <f t="shared" si="0"/>
        <v>2.1599999999999997</v>
      </c>
      <c r="O7" s="275">
        <f t="shared" si="0"/>
        <v>0.08</v>
      </c>
      <c r="P7" s="114"/>
      <c r="Q7" s="198"/>
      <c r="R7" s="199"/>
      <c r="S7" s="385">
        <f t="shared" ref="S7:S43" si="1">((P7*$B$5)+(Q7*$B$6)+(R7*$B$7))</f>
        <v>0</v>
      </c>
      <c r="T7" s="75"/>
      <c r="X7" s="9"/>
    </row>
    <row r="8" spans="1:24" x14ac:dyDescent="0.25">
      <c r="A8" s="73"/>
      <c r="B8" s="73"/>
      <c r="C8" s="35"/>
      <c r="D8" s="35"/>
      <c r="E8" s="35"/>
      <c r="F8" s="35"/>
      <c r="H8" s="79">
        <f>H7+1</f>
        <v>2018</v>
      </c>
      <c r="I8" s="86">
        <f t="shared" ref="I8:I43" si="2">((1+$C$42)^(H8-$H$7))-1</f>
        <v>7.5000000000000622E-3</v>
      </c>
      <c r="J8" s="277">
        <f>ROUNDUP($J$7*(1+I8),2)</f>
        <v>4.24</v>
      </c>
      <c r="K8" s="277">
        <f>ROUNDUP($K$7*(1+I8),2)</f>
        <v>2.8299999999999996</v>
      </c>
      <c r="L8" s="278">
        <f>ROUNDUP($L$7*(1+I8),2)</f>
        <v>0.11</v>
      </c>
      <c r="M8" s="276">
        <f t="shared" si="0"/>
        <v>3.2699999999999996</v>
      </c>
      <c r="N8" s="277">
        <f t="shared" si="0"/>
        <v>2.1799999999999997</v>
      </c>
      <c r="O8" s="278">
        <f t="shared" si="0"/>
        <v>0.09</v>
      </c>
      <c r="P8" s="79"/>
      <c r="Q8" s="85"/>
      <c r="R8" s="87"/>
      <c r="S8" s="109">
        <f t="shared" si="1"/>
        <v>0</v>
      </c>
      <c r="T8" s="75"/>
    </row>
    <row r="9" spans="1:24" x14ac:dyDescent="0.25">
      <c r="A9" s="73" t="s">
        <v>196</v>
      </c>
      <c r="B9" s="73"/>
      <c r="C9" s="35"/>
      <c r="D9" s="35"/>
      <c r="E9" s="35"/>
      <c r="F9" s="35"/>
      <c r="H9" s="79">
        <f t="shared" ref="H9:H43" si="3">H8+1</f>
        <v>2019</v>
      </c>
      <c r="I9" s="86">
        <f t="shared" si="2"/>
        <v>1.5056250000000215E-2</v>
      </c>
      <c r="J9" s="277">
        <f t="shared" ref="J9:J43" si="4">ROUNDUP($J$7*(1+I9),2)</f>
        <v>4.2699999999999996</v>
      </c>
      <c r="K9" s="277">
        <f t="shared" ref="K9:K43" si="5">ROUNDUP($K$7*(1+I9),2)</f>
        <v>2.8499999999999996</v>
      </c>
      <c r="L9" s="278">
        <f t="shared" ref="L9:L43" si="6">ROUNDUP($L$7*(1+I9),2)</f>
        <v>0.11</v>
      </c>
      <c r="M9" s="276">
        <f t="shared" si="0"/>
        <v>3.2899999999999996</v>
      </c>
      <c r="N9" s="277">
        <f t="shared" si="0"/>
        <v>2.1999999999999997</v>
      </c>
      <c r="O9" s="278">
        <f t="shared" si="0"/>
        <v>0.09</v>
      </c>
      <c r="P9" s="79"/>
      <c r="Q9" s="85"/>
      <c r="R9" s="87"/>
      <c r="S9" s="109">
        <f t="shared" si="1"/>
        <v>0</v>
      </c>
      <c r="T9" s="75"/>
    </row>
    <row r="10" spans="1:24" x14ac:dyDescent="0.25">
      <c r="A10" s="299" t="s">
        <v>36</v>
      </c>
      <c r="B10" s="73" t="s">
        <v>195</v>
      </c>
      <c r="C10" s="35"/>
      <c r="D10" s="35"/>
      <c r="E10" s="35"/>
      <c r="F10" s="35"/>
      <c r="H10" s="79">
        <f t="shared" si="3"/>
        <v>2020</v>
      </c>
      <c r="I10" s="86">
        <f t="shared" si="2"/>
        <v>2.2669171875000282E-2</v>
      </c>
      <c r="J10" s="277">
        <f t="shared" si="4"/>
        <v>4.3</v>
      </c>
      <c r="K10" s="277">
        <f t="shared" si="5"/>
        <v>2.8699999999999997</v>
      </c>
      <c r="L10" s="278">
        <f t="shared" si="6"/>
        <v>0.11</v>
      </c>
      <c r="M10" s="276">
        <f t="shared" ref="M10:M43" si="7">ROUNDUP(J10*$C$23,2)</f>
        <v>3.32</v>
      </c>
      <c r="N10" s="277">
        <f t="shared" ref="N10:N43" si="8">ROUNDUP(K10*$C$23,2)</f>
        <v>2.21</v>
      </c>
      <c r="O10" s="278">
        <f t="shared" ref="O10:O43" si="9">ROUNDUP(L10*$C$23,2)</f>
        <v>0.09</v>
      </c>
      <c r="P10" s="79"/>
      <c r="Q10" s="85"/>
      <c r="R10" s="87"/>
      <c r="S10" s="109">
        <f t="shared" si="1"/>
        <v>0</v>
      </c>
      <c r="T10" s="75"/>
    </row>
    <row r="11" spans="1:24" x14ac:dyDescent="0.25">
      <c r="A11" s="299" t="s">
        <v>37</v>
      </c>
      <c r="B11" s="73" t="s">
        <v>197</v>
      </c>
      <c r="C11" s="35"/>
      <c r="D11" s="35"/>
      <c r="E11" s="35"/>
      <c r="F11" s="35"/>
      <c r="H11" s="79">
        <f t="shared" si="3"/>
        <v>2021</v>
      </c>
      <c r="I11" s="86">
        <f t="shared" si="2"/>
        <v>3.0339190664062876E-2</v>
      </c>
      <c r="J11" s="277">
        <f t="shared" si="4"/>
        <v>4.33</v>
      </c>
      <c r="K11" s="277">
        <f t="shared" si="5"/>
        <v>2.8899999999999997</v>
      </c>
      <c r="L11" s="278">
        <f t="shared" si="6"/>
        <v>0.11</v>
      </c>
      <c r="M11" s="276">
        <f t="shared" si="7"/>
        <v>3.34</v>
      </c>
      <c r="N11" s="277">
        <f t="shared" si="8"/>
        <v>2.23</v>
      </c>
      <c r="O11" s="278">
        <f t="shared" si="9"/>
        <v>0.09</v>
      </c>
      <c r="P11" s="79"/>
      <c r="Q11" s="85"/>
      <c r="R11" s="87"/>
      <c r="S11" s="109">
        <f t="shared" si="1"/>
        <v>0</v>
      </c>
      <c r="T11" s="75"/>
    </row>
    <row r="12" spans="1:24" ht="15" customHeight="1" x14ac:dyDescent="0.25">
      <c r="A12" s="299" t="s">
        <v>38</v>
      </c>
      <c r="B12" s="73" t="s">
        <v>198</v>
      </c>
      <c r="C12" s="35"/>
      <c r="D12" s="35"/>
      <c r="E12" s="35"/>
      <c r="F12" s="35"/>
      <c r="H12" s="79">
        <f t="shared" si="3"/>
        <v>2022</v>
      </c>
      <c r="I12" s="86">
        <f t="shared" si="2"/>
        <v>3.8066734594043306E-2</v>
      </c>
      <c r="J12" s="277">
        <f t="shared" si="4"/>
        <v>4.3599999999999994</v>
      </c>
      <c r="K12" s="277">
        <f t="shared" si="5"/>
        <v>2.9099999999999997</v>
      </c>
      <c r="L12" s="278">
        <f t="shared" si="6"/>
        <v>0.11</v>
      </c>
      <c r="M12" s="276">
        <f t="shared" si="7"/>
        <v>3.36</v>
      </c>
      <c r="N12" s="277">
        <f t="shared" si="8"/>
        <v>2.25</v>
      </c>
      <c r="O12" s="278">
        <f t="shared" si="9"/>
        <v>0.09</v>
      </c>
      <c r="P12" s="79"/>
      <c r="Q12" s="85"/>
      <c r="R12" s="87"/>
      <c r="S12" s="109">
        <f t="shared" si="1"/>
        <v>0</v>
      </c>
      <c r="T12" s="75"/>
    </row>
    <row r="13" spans="1:24" ht="15.75" thickBot="1" x14ac:dyDescent="0.3">
      <c r="A13" s="35"/>
      <c r="B13" s="35"/>
      <c r="C13" s="35"/>
      <c r="D13" s="35"/>
      <c r="E13" s="35"/>
      <c r="F13" s="35"/>
      <c r="H13" s="79">
        <f t="shared" si="3"/>
        <v>2023</v>
      </c>
      <c r="I13" s="86">
        <f t="shared" si="2"/>
        <v>4.5852235103498895E-2</v>
      </c>
      <c r="J13" s="277">
        <f t="shared" si="4"/>
        <v>4.3999999999999995</v>
      </c>
      <c r="K13" s="277">
        <f t="shared" si="5"/>
        <v>2.9299999999999997</v>
      </c>
      <c r="L13" s="278">
        <f t="shared" si="6"/>
        <v>0.11</v>
      </c>
      <c r="M13" s="276">
        <f t="shared" si="7"/>
        <v>3.3899999999999997</v>
      </c>
      <c r="N13" s="277">
        <f t="shared" si="8"/>
        <v>2.2599999999999998</v>
      </c>
      <c r="O13" s="278">
        <f t="shared" si="9"/>
        <v>0.09</v>
      </c>
      <c r="P13" s="79"/>
      <c r="Q13" s="85"/>
      <c r="R13" s="87"/>
      <c r="S13" s="109">
        <f t="shared" si="1"/>
        <v>0</v>
      </c>
      <c r="T13" s="75"/>
    </row>
    <row r="14" spans="1:24" ht="15" customHeight="1" x14ac:dyDescent="0.25">
      <c r="A14" s="577" t="s">
        <v>199</v>
      </c>
      <c r="B14" s="577"/>
      <c r="C14" s="577" t="s">
        <v>11</v>
      </c>
      <c r="D14" s="35"/>
      <c r="E14" s="35"/>
      <c r="F14" s="35"/>
      <c r="H14" s="79">
        <f t="shared" si="3"/>
        <v>2024</v>
      </c>
      <c r="I14" s="86">
        <f t="shared" si="2"/>
        <v>5.3696126866775273E-2</v>
      </c>
      <c r="J14" s="277">
        <f t="shared" si="4"/>
        <v>4.43</v>
      </c>
      <c r="K14" s="277">
        <f t="shared" si="5"/>
        <v>2.96</v>
      </c>
      <c r="L14" s="278">
        <f t="shared" si="6"/>
        <v>0.11</v>
      </c>
      <c r="M14" s="276">
        <f t="shared" si="7"/>
        <v>3.42</v>
      </c>
      <c r="N14" s="277">
        <f t="shared" si="8"/>
        <v>2.2799999999999998</v>
      </c>
      <c r="O14" s="278">
        <f t="shared" si="9"/>
        <v>0.09</v>
      </c>
      <c r="P14" s="79"/>
      <c r="Q14" s="85"/>
      <c r="R14" s="87"/>
      <c r="S14" s="109">
        <f t="shared" si="1"/>
        <v>0</v>
      </c>
      <c r="T14" s="75"/>
    </row>
    <row r="15" spans="1:24" ht="15.75" thickBot="1" x14ac:dyDescent="0.3">
      <c r="A15" s="578"/>
      <c r="B15" s="578"/>
      <c r="C15" s="578"/>
      <c r="D15" s="35"/>
      <c r="E15" s="35"/>
      <c r="F15" s="35"/>
      <c r="H15" s="79">
        <f t="shared" si="3"/>
        <v>2025</v>
      </c>
      <c r="I15" s="86">
        <f t="shared" si="2"/>
        <v>6.159884781827607E-2</v>
      </c>
      <c r="J15" s="277">
        <f t="shared" si="4"/>
        <v>4.46</v>
      </c>
      <c r="K15" s="277">
        <f t="shared" si="5"/>
        <v>2.98</v>
      </c>
      <c r="L15" s="278">
        <f t="shared" si="6"/>
        <v>0.11</v>
      </c>
      <c r="M15" s="276">
        <f t="shared" si="7"/>
        <v>3.44</v>
      </c>
      <c r="N15" s="277">
        <f t="shared" si="8"/>
        <v>2.2999999999999998</v>
      </c>
      <c r="O15" s="278">
        <f t="shared" si="9"/>
        <v>0.09</v>
      </c>
      <c r="P15" s="79"/>
      <c r="Q15" s="85"/>
      <c r="R15" s="87"/>
      <c r="S15" s="109">
        <f t="shared" si="1"/>
        <v>0</v>
      </c>
      <c r="T15" s="75"/>
    </row>
    <row r="16" spans="1:24" x14ac:dyDescent="0.25">
      <c r="A16" s="66" t="s">
        <v>31</v>
      </c>
      <c r="B16" s="66">
        <v>71</v>
      </c>
      <c r="C16" s="82">
        <f>B16/10</f>
        <v>7.1</v>
      </c>
      <c r="D16" s="35"/>
      <c r="E16" s="35"/>
      <c r="F16" s="35"/>
      <c r="H16" s="79">
        <f t="shared" si="3"/>
        <v>2026</v>
      </c>
      <c r="I16" s="86">
        <f t="shared" si="2"/>
        <v>6.9560839176913136E-2</v>
      </c>
      <c r="J16" s="277">
        <f t="shared" si="4"/>
        <v>4.5</v>
      </c>
      <c r="K16" s="277">
        <f t="shared" si="5"/>
        <v>3</v>
      </c>
      <c r="L16" s="278">
        <f t="shared" si="6"/>
        <v>0.11</v>
      </c>
      <c r="M16" s="276">
        <f t="shared" si="7"/>
        <v>3.4699999999999998</v>
      </c>
      <c r="N16" s="277">
        <f t="shared" si="8"/>
        <v>2.31</v>
      </c>
      <c r="O16" s="278">
        <f t="shared" si="9"/>
        <v>0.09</v>
      </c>
      <c r="P16" s="79"/>
      <c r="Q16" s="85"/>
      <c r="R16" s="87"/>
      <c r="S16" s="109">
        <f t="shared" si="1"/>
        <v>0</v>
      </c>
      <c r="T16" s="75"/>
    </row>
    <row r="17" spans="1:20" x14ac:dyDescent="0.25">
      <c r="A17" s="69" t="s">
        <v>6</v>
      </c>
      <c r="B17" s="69">
        <v>42</v>
      </c>
      <c r="C17" s="83">
        <f>B17/10</f>
        <v>4.2</v>
      </c>
      <c r="D17" s="35"/>
      <c r="E17" s="35"/>
      <c r="F17" s="35"/>
      <c r="H17" s="79">
        <f t="shared" si="3"/>
        <v>2027</v>
      </c>
      <c r="I17" s="86">
        <f t="shared" si="2"/>
        <v>7.7582545470740172E-2</v>
      </c>
      <c r="J17" s="277">
        <f t="shared" si="4"/>
        <v>4.5299999999999994</v>
      </c>
      <c r="K17" s="277">
        <f t="shared" si="5"/>
        <v>3.0199999999999996</v>
      </c>
      <c r="L17" s="278">
        <f t="shared" si="6"/>
        <v>0.11</v>
      </c>
      <c r="M17" s="276">
        <f t="shared" si="7"/>
        <v>3.4899999999999998</v>
      </c>
      <c r="N17" s="277">
        <f t="shared" si="8"/>
        <v>2.3299999999999996</v>
      </c>
      <c r="O17" s="278">
        <f t="shared" si="9"/>
        <v>0.09</v>
      </c>
      <c r="P17" s="276">
        <f t="shared" ref="P17:P22" si="10">ABS(J17-M17)</f>
        <v>1.0399999999999996</v>
      </c>
      <c r="Q17" s="279">
        <f t="shared" ref="Q17:Q22" si="11">ABS(K17-N17)</f>
        <v>0.69</v>
      </c>
      <c r="R17" s="278">
        <f t="shared" ref="R17:R22" si="12">ABS(L17-O17)</f>
        <v>2.0000000000000004E-2</v>
      </c>
      <c r="S17" s="109">
        <f t="shared" si="1"/>
        <v>507904</v>
      </c>
      <c r="T17" s="75"/>
    </row>
    <row r="18" spans="1:20" x14ac:dyDescent="0.25">
      <c r="A18" s="69" t="s">
        <v>7</v>
      </c>
      <c r="B18" s="69">
        <v>28</v>
      </c>
      <c r="C18" s="83">
        <f>B18/10</f>
        <v>2.8</v>
      </c>
      <c r="D18" s="42"/>
      <c r="E18" s="35"/>
      <c r="F18" s="35"/>
      <c r="H18" s="79">
        <f t="shared" si="3"/>
        <v>2028</v>
      </c>
      <c r="I18" s="86">
        <f t="shared" si="2"/>
        <v>8.5664414561770874E-2</v>
      </c>
      <c r="J18" s="277">
        <f t="shared" si="4"/>
        <v>4.5599999999999996</v>
      </c>
      <c r="K18" s="277">
        <f t="shared" si="5"/>
        <v>3.0399999999999996</v>
      </c>
      <c r="L18" s="278">
        <f t="shared" si="6"/>
        <v>0.11</v>
      </c>
      <c r="M18" s="276">
        <f t="shared" si="7"/>
        <v>3.5199999999999996</v>
      </c>
      <c r="N18" s="277">
        <f t="shared" si="8"/>
        <v>2.3499999999999996</v>
      </c>
      <c r="O18" s="278">
        <f t="shared" si="9"/>
        <v>0.09</v>
      </c>
      <c r="P18" s="276">
        <f t="shared" si="10"/>
        <v>1.04</v>
      </c>
      <c r="Q18" s="279">
        <f t="shared" si="11"/>
        <v>0.69</v>
      </c>
      <c r="R18" s="278">
        <f t="shared" si="12"/>
        <v>2.0000000000000004E-2</v>
      </c>
      <c r="S18" s="109">
        <f t="shared" si="1"/>
        <v>507904</v>
      </c>
      <c r="T18" s="75"/>
    </row>
    <row r="19" spans="1:20" ht="15.75" thickBot="1" x14ac:dyDescent="0.3">
      <c r="A19" s="71" t="s">
        <v>9</v>
      </c>
      <c r="B19" s="71">
        <v>1</v>
      </c>
      <c r="C19" s="84">
        <f>B19/10</f>
        <v>0.1</v>
      </c>
      <c r="D19" s="42"/>
      <c r="E19" s="35"/>
      <c r="F19" s="35"/>
      <c r="H19" s="79">
        <f t="shared" si="3"/>
        <v>2029</v>
      </c>
      <c r="I19" s="86">
        <f t="shared" si="2"/>
        <v>9.3806897670984268E-2</v>
      </c>
      <c r="J19" s="277">
        <f t="shared" si="4"/>
        <v>4.5999999999999996</v>
      </c>
      <c r="K19" s="277">
        <f t="shared" si="5"/>
        <v>3.07</v>
      </c>
      <c r="L19" s="278">
        <f t="shared" si="6"/>
        <v>0.11</v>
      </c>
      <c r="M19" s="276">
        <f t="shared" si="7"/>
        <v>3.55</v>
      </c>
      <c r="N19" s="277">
        <f t="shared" si="8"/>
        <v>2.3699999999999997</v>
      </c>
      <c r="O19" s="278">
        <f t="shared" si="9"/>
        <v>0.09</v>
      </c>
      <c r="P19" s="276">
        <f t="shared" si="10"/>
        <v>1.0499999999999998</v>
      </c>
      <c r="Q19" s="279">
        <f t="shared" si="11"/>
        <v>0.70000000000000018</v>
      </c>
      <c r="R19" s="278">
        <f t="shared" si="12"/>
        <v>2.0000000000000004E-2</v>
      </c>
      <c r="S19" s="109">
        <f t="shared" si="1"/>
        <v>512460.00000000012</v>
      </c>
      <c r="T19" s="75"/>
    </row>
    <row r="20" spans="1:20" x14ac:dyDescent="0.25">
      <c r="A20" s="299" t="s">
        <v>200</v>
      </c>
      <c r="B20" s="271" t="s">
        <v>33</v>
      </c>
      <c r="C20" s="271"/>
      <c r="D20" s="42"/>
      <c r="E20" s="35"/>
      <c r="F20" s="35"/>
      <c r="H20" s="79">
        <f t="shared" si="3"/>
        <v>2030</v>
      </c>
      <c r="I20" s="86">
        <f t="shared" si="2"/>
        <v>0.10201044940351656</v>
      </c>
      <c r="J20" s="277">
        <f t="shared" si="4"/>
        <v>4.63</v>
      </c>
      <c r="K20" s="277">
        <f t="shared" si="5"/>
        <v>3.09</v>
      </c>
      <c r="L20" s="278">
        <f t="shared" si="6"/>
        <v>0.12</v>
      </c>
      <c r="M20" s="276">
        <f t="shared" si="7"/>
        <v>3.57</v>
      </c>
      <c r="N20" s="277">
        <f t="shared" si="8"/>
        <v>2.38</v>
      </c>
      <c r="O20" s="278">
        <f t="shared" si="9"/>
        <v>9.9999999999999992E-2</v>
      </c>
      <c r="P20" s="276">
        <f t="shared" si="10"/>
        <v>1.06</v>
      </c>
      <c r="Q20" s="279">
        <f t="shared" si="11"/>
        <v>0.71</v>
      </c>
      <c r="R20" s="278">
        <f t="shared" si="12"/>
        <v>2.0000000000000004E-2</v>
      </c>
      <c r="S20" s="109">
        <f t="shared" si="1"/>
        <v>517016</v>
      </c>
      <c r="T20" s="75"/>
    </row>
    <row r="21" spans="1:20" ht="15.75" thickBot="1" x14ac:dyDescent="0.3">
      <c r="A21" s="42"/>
      <c r="B21" s="42"/>
      <c r="C21" s="42"/>
      <c r="D21" s="42"/>
      <c r="E21" s="35"/>
      <c r="F21" s="35"/>
      <c r="H21" s="79">
        <f t="shared" si="3"/>
        <v>2031</v>
      </c>
      <c r="I21" s="86">
        <f t="shared" si="2"/>
        <v>0.11027552777404326</v>
      </c>
      <c r="J21" s="277">
        <f t="shared" si="4"/>
        <v>4.67</v>
      </c>
      <c r="K21" s="277">
        <f t="shared" si="5"/>
        <v>3.11</v>
      </c>
      <c r="L21" s="278">
        <f t="shared" si="6"/>
        <v>0.12</v>
      </c>
      <c r="M21" s="276">
        <f t="shared" si="7"/>
        <v>3.5999999999999996</v>
      </c>
      <c r="N21" s="277">
        <f t="shared" si="8"/>
        <v>2.4</v>
      </c>
      <c r="O21" s="278">
        <f t="shared" si="9"/>
        <v>9.9999999999999992E-2</v>
      </c>
      <c r="P21" s="276">
        <f t="shared" si="10"/>
        <v>1.0700000000000003</v>
      </c>
      <c r="Q21" s="279">
        <f t="shared" si="11"/>
        <v>0.71</v>
      </c>
      <c r="R21" s="278">
        <f t="shared" si="12"/>
        <v>2.0000000000000004E-2</v>
      </c>
      <c r="S21" s="109">
        <f t="shared" si="1"/>
        <v>517060</v>
      </c>
      <c r="T21" s="75"/>
    </row>
    <row r="22" spans="1:20" ht="18" thickBot="1" x14ac:dyDescent="0.3">
      <c r="A22" s="549" t="s">
        <v>201</v>
      </c>
      <c r="B22" s="550"/>
      <c r="C22" s="557"/>
      <c r="D22" s="35"/>
      <c r="E22" s="35"/>
      <c r="F22" s="35"/>
      <c r="H22" s="79">
        <f t="shared" si="3"/>
        <v>2032</v>
      </c>
      <c r="I22" s="86">
        <f t="shared" si="2"/>
        <v>0.11860259423234876</v>
      </c>
      <c r="J22" s="277">
        <f t="shared" si="4"/>
        <v>4.7</v>
      </c>
      <c r="K22" s="277">
        <f t="shared" si="5"/>
        <v>3.1399999999999997</v>
      </c>
      <c r="L22" s="278">
        <f t="shared" si="6"/>
        <v>0.12</v>
      </c>
      <c r="M22" s="276">
        <f t="shared" si="7"/>
        <v>3.6199999999999997</v>
      </c>
      <c r="N22" s="277">
        <f t="shared" si="8"/>
        <v>2.42</v>
      </c>
      <c r="O22" s="278">
        <f t="shared" si="9"/>
        <v>9.9999999999999992E-2</v>
      </c>
      <c r="P22" s="276">
        <f t="shared" si="10"/>
        <v>1.0800000000000005</v>
      </c>
      <c r="Q22" s="279">
        <f t="shared" si="11"/>
        <v>0.71999999999999975</v>
      </c>
      <c r="R22" s="278">
        <f t="shared" si="12"/>
        <v>2.0000000000000004E-2</v>
      </c>
      <c r="S22" s="109">
        <f t="shared" si="1"/>
        <v>521615.99999999988</v>
      </c>
      <c r="T22" s="75"/>
    </row>
    <row r="23" spans="1:20" ht="15.75" thickBot="1" x14ac:dyDescent="0.3">
      <c r="A23" s="549" t="s">
        <v>35</v>
      </c>
      <c r="B23" s="550"/>
      <c r="C23" s="118">
        <v>0.77</v>
      </c>
      <c r="D23" s="35"/>
      <c r="E23" s="35"/>
      <c r="F23" s="35"/>
      <c r="H23" s="79">
        <f t="shared" si="3"/>
        <v>2033</v>
      </c>
      <c r="I23" s="86">
        <f t="shared" si="2"/>
        <v>0.12699211368909125</v>
      </c>
      <c r="J23" s="277">
        <f t="shared" si="4"/>
        <v>4.74</v>
      </c>
      <c r="K23" s="277">
        <f t="shared" si="5"/>
        <v>3.1599999999999997</v>
      </c>
      <c r="L23" s="278">
        <f t="shared" si="6"/>
        <v>0.12</v>
      </c>
      <c r="M23" s="276">
        <f t="shared" si="7"/>
        <v>3.65</v>
      </c>
      <c r="N23" s="277">
        <f t="shared" si="8"/>
        <v>2.44</v>
      </c>
      <c r="O23" s="278">
        <f t="shared" si="9"/>
        <v>9.9999999999999992E-2</v>
      </c>
      <c r="P23" s="276">
        <f>ABS(J23-M23)</f>
        <v>1.0900000000000003</v>
      </c>
      <c r="Q23" s="279">
        <f>ABS(K23-N23)</f>
        <v>0.71999999999999975</v>
      </c>
      <c r="R23" s="278">
        <f>ABS(L23-O23)</f>
        <v>2.0000000000000004E-2</v>
      </c>
      <c r="S23" s="109">
        <f t="shared" si="1"/>
        <v>521659.99999999988</v>
      </c>
      <c r="T23" s="75"/>
    </row>
    <row r="24" spans="1:20" ht="15" customHeight="1" x14ac:dyDescent="0.25">
      <c r="A24" s="35"/>
      <c r="B24" s="35"/>
      <c r="C24" s="35"/>
      <c r="D24" s="35"/>
      <c r="E24" s="35"/>
      <c r="F24" s="35"/>
      <c r="H24" s="79">
        <f t="shared" si="3"/>
        <v>2034</v>
      </c>
      <c r="I24" s="86">
        <f t="shared" si="2"/>
        <v>0.13544455454175952</v>
      </c>
      <c r="J24" s="277">
        <f t="shared" si="4"/>
        <v>4.7699999999999996</v>
      </c>
      <c r="K24" s="277">
        <f t="shared" si="5"/>
        <v>3.1799999999999997</v>
      </c>
      <c r="L24" s="278">
        <f t="shared" si="6"/>
        <v>0.12</v>
      </c>
      <c r="M24" s="276">
        <f t="shared" si="7"/>
        <v>3.6799999999999997</v>
      </c>
      <c r="N24" s="277">
        <f t="shared" si="8"/>
        <v>2.4499999999999997</v>
      </c>
      <c r="O24" s="278">
        <f t="shared" si="9"/>
        <v>9.9999999999999992E-2</v>
      </c>
      <c r="P24" s="276">
        <f t="shared" ref="P24:R43" si="13">ABS(J24-M24)</f>
        <v>1.0899999999999999</v>
      </c>
      <c r="Q24" s="279">
        <f t="shared" si="13"/>
        <v>0.73</v>
      </c>
      <c r="R24" s="278">
        <f t="shared" si="13"/>
        <v>2.0000000000000004E-2</v>
      </c>
      <c r="S24" s="109">
        <f t="shared" si="1"/>
        <v>526172</v>
      </c>
      <c r="T24" s="75"/>
    </row>
    <row r="25" spans="1:20" ht="15" customHeight="1" x14ac:dyDescent="0.25">
      <c r="A25" s="551" t="s">
        <v>220</v>
      </c>
      <c r="B25" s="551"/>
      <c r="C25" s="551"/>
      <c r="D25" s="551"/>
      <c r="E25" s="551"/>
      <c r="F25" s="551"/>
      <c r="H25" s="79">
        <f t="shared" si="3"/>
        <v>2035</v>
      </c>
      <c r="I25" s="86">
        <f t="shared" si="2"/>
        <v>0.14396038870082295</v>
      </c>
      <c r="J25" s="277">
        <f t="shared" si="4"/>
        <v>4.8099999999999996</v>
      </c>
      <c r="K25" s="277">
        <f t="shared" si="5"/>
        <v>3.21</v>
      </c>
      <c r="L25" s="278">
        <f t="shared" si="6"/>
        <v>0.12</v>
      </c>
      <c r="M25" s="276">
        <f t="shared" si="7"/>
        <v>3.71</v>
      </c>
      <c r="N25" s="277">
        <f t="shared" si="8"/>
        <v>2.48</v>
      </c>
      <c r="O25" s="278">
        <f t="shared" si="9"/>
        <v>9.9999999999999992E-2</v>
      </c>
      <c r="P25" s="276">
        <f t="shared" si="13"/>
        <v>1.0999999999999996</v>
      </c>
      <c r="Q25" s="279">
        <f t="shared" si="13"/>
        <v>0.73</v>
      </c>
      <c r="R25" s="278">
        <f t="shared" si="13"/>
        <v>2.0000000000000004E-2</v>
      </c>
      <c r="S25" s="109">
        <f t="shared" si="1"/>
        <v>526216</v>
      </c>
      <c r="T25" s="75"/>
    </row>
    <row r="26" spans="1:20" x14ac:dyDescent="0.25">
      <c r="E26" s="35"/>
      <c r="F26" s="35"/>
      <c r="H26" s="79">
        <f t="shared" si="3"/>
        <v>2036</v>
      </c>
      <c r="I26" s="86">
        <f t="shared" si="2"/>
        <v>0.15254009161607907</v>
      </c>
      <c r="J26" s="277">
        <f t="shared" si="4"/>
        <v>4.8499999999999996</v>
      </c>
      <c r="K26" s="277">
        <f t="shared" si="5"/>
        <v>3.23</v>
      </c>
      <c r="L26" s="278">
        <f t="shared" si="6"/>
        <v>0.12</v>
      </c>
      <c r="M26" s="276">
        <f t="shared" si="7"/>
        <v>3.7399999999999998</v>
      </c>
      <c r="N26" s="277">
        <f t="shared" si="8"/>
        <v>2.4899999999999998</v>
      </c>
      <c r="O26" s="278">
        <f t="shared" si="9"/>
        <v>9.9999999999999992E-2</v>
      </c>
      <c r="P26" s="276">
        <f t="shared" si="13"/>
        <v>1.1099999999999999</v>
      </c>
      <c r="Q26" s="279">
        <f t="shared" si="13"/>
        <v>0.74000000000000021</v>
      </c>
      <c r="R26" s="278">
        <f t="shared" si="13"/>
        <v>2.0000000000000004E-2</v>
      </c>
      <c r="S26" s="109">
        <f t="shared" si="1"/>
        <v>530772.00000000012</v>
      </c>
      <c r="T26" s="75"/>
    </row>
    <row r="27" spans="1:20" x14ac:dyDescent="0.25">
      <c r="E27" s="35"/>
      <c r="F27" s="35"/>
      <c r="H27" s="79">
        <f t="shared" si="3"/>
        <v>2037</v>
      </c>
      <c r="I27" s="86">
        <f t="shared" si="2"/>
        <v>0.16118414230319988</v>
      </c>
      <c r="J27" s="277">
        <f t="shared" si="4"/>
        <v>4.88</v>
      </c>
      <c r="K27" s="277">
        <f t="shared" si="5"/>
        <v>3.26</v>
      </c>
      <c r="L27" s="278">
        <f t="shared" si="6"/>
        <v>0.12</v>
      </c>
      <c r="M27" s="276">
        <f t="shared" si="7"/>
        <v>3.76</v>
      </c>
      <c r="N27" s="277">
        <f t="shared" si="8"/>
        <v>2.5199999999999996</v>
      </c>
      <c r="O27" s="278">
        <f t="shared" si="9"/>
        <v>9.9999999999999992E-2</v>
      </c>
      <c r="P27" s="276">
        <f t="shared" si="13"/>
        <v>1.1200000000000001</v>
      </c>
      <c r="Q27" s="279">
        <f t="shared" si="13"/>
        <v>0.74000000000000021</v>
      </c>
      <c r="R27" s="278">
        <f t="shared" si="13"/>
        <v>2.0000000000000004E-2</v>
      </c>
      <c r="S27" s="109">
        <f t="shared" si="1"/>
        <v>530816.00000000012</v>
      </c>
      <c r="T27" s="75"/>
    </row>
    <row r="28" spans="1:20" x14ac:dyDescent="0.25">
      <c r="D28" s="35"/>
      <c r="E28" s="35"/>
      <c r="F28" s="35"/>
      <c r="H28" s="79">
        <f t="shared" si="3"/>
        <v>2038</v>
      </c>
      <c r="I28" s="86">
        <f t="shared" si="2"/>
        <v>0.16989302337047385</v>
      </c>
      <c r="J28" s="277">
        <f t="shared" si="4"/>
        <v>4.92</v>
      </c>
      <c r="K28" s="277">
        <f t="shared" si="5"/>
        <v>3.28</v>
      </c>
      <c r="L28" s="278">
        <f t="shared" si="6"/>
        <v>0.12</v>
      </c>
      <c r="M28" s="276">
        <f t="shared" si="7"/>
        <v>3.7899999999999996</v>
      </c>
      <c r="N28" s="277">
        <f t="shared" si="8"/>
        <v>2.5299999999999998</v>
      </c>
      <c r="O28" s="278">
        <f t="shared" si="9"/>
        <v>9.9999999999999992E-2</v>
      </c>
      <c r="P28" s="276">
        <f t="shared" si="13"/>
        <v>1.1300000000000003</v>
      </c>
      <c r="Q28" s="279">
        <f t="shared" si="13"/>
        <v>0.75</v>
      </c>
      <c r="R28" s="278">
        <f t="shared" si="13"/>
        <v>2.0000000000000004E-2</v>
      </c>
      <c r="S28" s="109">
        <f t="shared" si="1"/>
        <v>535372</v>
      </c>
      <c r="T28" s="75"/>
    </row>
    <row r="29" spans="1:20" x14ac:dyDescent="0.25">
      <c r="D29" s="35"/>
      <c r="E29" s="35"/>
      <c r="F29" s="35"/>
      <c r="H29" s="79">
        <f t="shared" si="3"/>
        <v>2039</v>
      </c>
      <c r="I29" s="86">
        <f t="shared" si="2"/>
        <v>0.17866722104575272</v>
      </c>
      <c r="J29" s="277">
        <f t="shared" si="4"/>
        <v>4.96</v>
      </c>
      <c r="K29" s="277">
        <f t="shared" si="5"/>
        <v>3.3099999999999996</v>
      </c>
      <c r="L29" s="278">
        <f t="shared" si="6"/>
        <v>0.12</v>
      </c>
      <c r="M29" s="276">
        <f t="shared" si="7"/>
        <v>3.82</v>
      </c>
      <c r="N29" s="277">
        <f t="shared" si="8"/>
        <v>2.5499999999999998</v>
      </c>
      <c r="O29" s="278">
        <f t="shared" si="9"/>
        <v>9.9999999999999992E-2</v>
      </c>
      <c r="P29" s="276">
        <f t="shared" si="13"/>
        <v>1.1400000000000001</v>
      </c>
      <c r="Q29" s="279">
        <f t="shared" si="13"/>
        <v>0.75999999999999979</v>
      </c>
      <c r="R29" s="278">
        <f t="shared" si="13"/>
        <v>2.0000000000000004E-2</v>
      </c>
      <c r="S29" s="109">
        <f t="shared" si="1"/>
        <v>539927.99999999988</v>
      </c>
      <c r="T29" s="75"/>
    </row>
    <row r="30" spans="1:20" x14ac:dyDescent="0.25">
      <c r="D30" s="35"/>
      <c r="E30" s="35"/>
      <c r="F30" s="35"/>
      <c r="H30" s="79">
        <f t="shared" si="3"/>
        <v>2040</v>
      </c>
      <c r="I30" s="86">
        <f t="shared" si="2"/>
        <v>0.18750722520359586</v>
      </c>
      <c r="J30" s="277">
        <f t="shared" si="4"/>
        <v>4.99</v>
      </c>
      <c r="K30" s="277">
        <f t="shared" si="5"/>
        <v>3.3299999999999996</v>
      </c>
      <c r="L30" s="278">
        <f t="shared" si="6"/>
        <v>0.12</v>
      </c>
      <c r="M30" s="276">
        <f t="shared" si="7"/>
        <v>3.8499999999999996</v>
      </c>
      <c r="N30" s="277">
        <f t="shared" si="8"/>
        <v>2.57</v>
      </c>
      <c r="O30" s="278">
        <f t="shared" si="9"/>
        <v>9.9999999999999992E-2</v>
      </c>
      <c r="P30" s="276">
        <f t="shared" si="13"/>
        <v>1.1400000000000006</v>
      </c>
      <c r="Q30" s="279">
        <f t="shared" si="13"/>
        <v>0.75999999999999979</v>
      </c>
      <c r="R30" s="278">
        <f t="shared" si="13"/>
        <v>2.0000000000000004E-2</v>
      </c>
      <c r="S30" s="109">
        <f t="shared" si="1"/>
        <v>539927.99999999988</v>
      </c>
      <c r="T30" s="75"/>
    </row>
    <row r="31" spans="1:20" ht="15" customHeight="1" x14ac:dyDescent="0.25">
      <c r="D31" s="35"/>
      <c r="E31" s="35"/>
      <c r="F31" s="35"/>
      <c r="G31" s="35"/>
      <c r="H31" s="79">
        <f t="shared" si="3"/>
        <v>2041</v>
      </c>
      <c r="I31" s="86">
        <f t="shared" si="2"/>
        <v>0.1964135293926228</v>
      </c>
      <c r="J31" s="277">
        <f t="shared" si="4"/>
        <v>5.0299999999999994</v>
      </c>
      <c r="K31" s="277">
        <f t="shared" si="5"/>
        <v>3.3499999999999996</v>
      </c>
      <c r="L31" s="278">
        <f t="shared" si="6"/>
        <v>0.12</v>
      </c>
      <c r="M31" s="276">
        <f t="shared" si="7"/>
        <v>3.88</v>
      </c>
      <c r="N31" s="277">
        <f t="shared" si="8"/>
        <v>2.5799999999999996</v>
      </c>
      <c r="O31" s="278">
        <f t="shared" si="9"/>
        <v>9.9999999999999992E-2</v>
      </c>
      <c r="P31" s="276">
        <f t="shared" si="13"/>
        <v>1.1499999999999995</v>
      </c>
      <c r="Q31" s="279">
        <f t="shared" si="13"/>
        <v>0.77</v>
      </c>
      <c r="R31" s="278">
        <f t="shared" si="13"/>
        <v>2.0000000000000004E-2</v>
      </c>
      <c r="S31" s="109">
        <f t="shared" si="1"/>
        <v>544484</v>
      </c>
      <c r="T31" s="75"/>
    </row>
    <row r="32" spans="1:20" x14ac:dyDescent="0.25">
      <c r="F32" s="35"/>
      <c r="G32" s="35"/>
      <c r="H32" s="79">
        <f t="shared" si="3"/>
        <v>2042</v>
      </c>
      <c r="I32" s="86">
        <f t="shared" si="2"/>
        <v>0.20538663086306763</v>
      </c>
      <c r="J32" s="277">
        <f t="shared" si="4"/>
        <v>5.0699999999999994</v>
      </c>
      <c r="K32" s="277">
        <f t="shared" si="5"/>
        <v>3.38</v>
      </c>
      <c r="L32" s="278">
        <f t="shared" si="6"/>
        <v>0.13</v>
      </c>
      <c r="M32" s="276">
        <f t="shared" si="7"/>
        <v>3.9099999999999997</v>
      </c>
      <c r="N32" s="277">
        <f t="shared" si="8"/>
        <v>2.61</v>
      </c>
      <c r="O32" s="278">
        <f t="shared" si="9"/>
        <v>0.11</v>
      </c>
      <c r="P32" s="276">
        <f t="shared" si="13"/>
        <v>1.1599999999999997</v>
      </c>
      <c r="Q32" s="279">
        <f t="shared" si="13"/>
        <v>0.77</v>
      </c>
      <c r="R32" s="278">
        <f t="shared" si="13"/>
        <v>2.0000000000000004E-2</v>
      </c>
      <c r="S32" s="109">
        <f t="shared" si="1"/>
        <v>544528</v>
      </c>
      <c r="T32" s="75"/>
    </row>
    <row r="33" spans="1:26" x14ac:dyDescent="0.25">
      <c r="F33" s="35"/>
      <c r="G33" s="35"/>
      <c r="H33" s="79">
        <f t="shared" si="3"/>
        <v>2043</v>
      </c>
      <c r="I33" s="86">
        <f t="shared" si="2"/>
        <v>0.21442703059454082</v>
      </c>
      <c r="J33" s="277">
        <f t="shared" si="4"/>
        <v>5.1099999999999994</v>
      </c>
      <c r="K33" s="277">
        <f t="shared" si="5"/>
        <v>3.4099999999999997</v>
      </c>
      <c r="L33" s="278">
        <f t="shared" si="6"/>
        <v>0.13</v>
      </c>
      <c r="M33" s="276">
        <f t="shared" si="7"/>
        <v>3.94</v>
      </c>
      <c r="N33" s="277">
        <f t="shared" si="8"/>
        <v>2.63</v>
      </c>
      <c r="O33" s="278">
        <f t="shared" si="9"/>
        <v>0.11</v>
      </c>
      <c r="P33" s="276">
        <f t="shared" si="13"/>
        <v>1.1699999999999995</v>
      </c>
      <c r="Q33" s="279">
        <f t="shared" si="13"/>
        <v>0.7799999999999998</v>
      </c>
      <c r="R33" s="278">
        <f t="shared" si="13"/>
        <v>2.0000000000000004E-2</v>
      </c>
      <c r="S33" s="109">
        <f t="shared" si="1"/>
        <v>549083.99999999988</v>
      </c>
      <c r="T33" s="75"/>
    </row>
    <row r="34" spans="1:26" x14ac:dyDescent="0.25">
      <c r="F34" s="35"/>
      <c r="G34" s="35"/>
      <c r="H34" s="79">
        <f t="shared" si="3"/>
        <v>2044</v>
      </c>
      <c r="I34" s="86">
        <f t="shared" si="2"/>
        <v>0.22353523332399994</v>
      </c>
      <c r="J34" s="277">
        <f t="shared" si="4"/>
        <v>5.14</v>
      </c>
      <c r="K34" s="277">
        <f t="shared" si="5"/>
        <v>3.4299999999999997</v>
      </c>
      <c r="L34" s="278">
        <f t="shared" si="6"/>
        <v>0.13</v>
      </c>
      <c r="M34" s="276">
        <f t="shared" si="7"/>
        <v>3.96</v>
      </c>
      <c r="N34" s="277">
        <f t="shared" si="8"/>
        <v>2.65</v>
      </c>
      <c r="O34" s="278">
        <f t="shared" si="9"/>
        <v>0.11</v>
      </c>
      <c r="P34" s="276">
        <f t="shared" si="13"/>
        <v>1.1799999999999997</v>
      </c>
      <c r="Q34" s="279">
        <f t="shared" si="13"/>
        <v>0.7799999999999998</v>
      </c>
      <c r="R34" s="278">
        <f t="shared" si="13"/>
        <v>2.0000000000000004E-2</v>
      </c>
      <c r="S34" s="109">
        <f t="shared" si="1"/>
        <v>549127.99999999988</v>
      </c>
      <c r="T34" s="75"/>
    </row>
    <row r="35" spans="1:26" x14ac:dyDescent="0.25">
      <c r="F35" s="35"/>
      <c r="G35" s="35"/>
      <c r="H35" s="79">
        <f t="shared" si="3"/>
        <v>2045</v>
      </c>
      <c r="I35" s="86">
        <f t="shared" si="2"/>
        <v>0.23271174757393021</v>
      </c>
      <c r="J35" s="277">
        <f t="shared" si="4"/>
        <v>5.18</v>
      </c>
      <c r="K35" s="277">
        <f t="shared" si="5"/>
        <v>3.46</v>
      </c>
      <c r="L35" s="278">
        <f t="shared" si="6"/>
        <v>0.13</v>
      </c>
      <c r="M35" s="276">
        <f t="shared" si="7"/>
        <v>3.9899999999999998</v>
      </c>
      <c r="N35" s="277">
        <f t="shared" si="8"/>
        <v>2.67</v>
      </c>
      <c r="O35" s="278">
        <f t="shared" si="9"/>
        <v>0.11</v>
      </c>
      <c r="P35" s="276">
        <f t="shared" si="13"/>
        <v>1.19</v>
      </c>
      <c r="Q35" s="279">
        <f t="shared" si="13"/>
        <v>0.79</v>
      </c>
      <c r="R35" s="278">
        <f t="shared" si="13"/>
        <v>2.0000000000000004E-2</v>
      </c>
      <c r="S35" s="109">
        <f t="shared" si="1"/>
        <v>553684</v>
      </c>
      <c r="T35" s="75"/>
    </row>
    <row r="36" spans="1:26" ht="15" customHeight="1" x14ac:dyDescent="0.25">
      <c r="F36" s="35"/>
      <c r="G36" s="35"/>
      <c r="H36" s="79">
        <f t="shared" si="3"/>
        <v>2046</v>
      </c>
      <c r="I36" s="86">
        <f t="shared" si="2"/>
        <v>0.24195708568073448</v>
      </c>
      <c r="J36" s="277">
        <f t="shared" si="4"/>
        <v>5.22</v>
      </c>
      <c r="K36" s="277">
        <f t="shared" si="5"/>
        <v>3.48</v>
      </c>
      <c r="L36" s="278">
        <f t="shared" si="6"/>
        <v>0.13</v>
      </c>
      <c r="M36" s="276">
        <f t="shared" si="7"/>
        <v>4.0199999999999996</v>
      </c>
      <c r="N36" s="277">
        <f t="shared" si="8"/>
        <v>2.6799999999999997</v>
      </c>
      <c r="O36" s="278">
        <f t="shared" si="9"/>
        <v>0.11</v>
      </c>
      <c r="P36" s="276">
        <f t="shared" si="13"/>
        <v>1.2000000000000002</v>
      </c>
      <c r="Q36" s="279">
        <f t="shared" si="13"/>
        <v>0.80000000000000027</v>
      </c>
      <c r="R36" s="278">
        <f t="shared" si="13"/>
        <v>2.0000000000000004E-2</v>
      </c>
      <c r="S36" s="109">
        <f t="shared" si="1"/>
        <v>558240.00000000012</v>
      </c>
      <c r="T36" s="75"/>
    </row>
    <row r="37" spans="1:26" x14ac:dyDescent="0.25">
      <c r="F37" s="35"/>
      <c r="G37" s="35"/>
      <c r="H37" s="79">
        <f t="shared" si="3"/>
        <v>2047</v>
      </c>
      <c r="I37" s="86">
        <f t="shared" si="2"/>
        <v>0.25127176382334038</v>
      </c>
      <c r="J37" s="277">
        <f t="shared" si="4"/>
        <v>5.26</v>
      </c>
      <c r="K37" s="277">
        <f t="shared" si="5"/>
        <v>3.51</v>
      </c>
      <c r="L37" s="278">
        <f t="shared" si="6"/>
        <v>0.13</v>
      </c>
      <c r="M37" s="276">
        <f t="shared" si="7"/>
        <v>4.0599999999999996</v>
      </c>
      <c r="N37" s="277">
        <f t="shared" si="8"/>
        <v>2.71</v>
      </c>
      <c r="O37" s="278">
        <f t="shared" si="9"/>
        <v>0.11</v>
      </c>
      <c r="P37" s="276">
        <f t="shared" si="13"/>
        <v>1.2000000000000002</v>
      </c>
      <c r="Q37" s="279">
        <f t="shared" si="13"/>
        <v>0.79999999999999982</v>
      </c>
      <c r="R37" s="278">
        <f t="shared" si="13"/>
        <v>2.0000000000000004E-2</v>
      </c>
      <c r="S37" s="112">
        <f t="shared" si="1"/>
        <v>558240</v>
      </c>
      <c r="T37" s="75"/>
    </row>
    <row r="38" spans="1:26" x14ac:dyDescent="0.25">
      <c r="F38" s="35"/>
      <c r="G38" s="35"/>
      <c r="H38" s="79">
        <f t="shared" si="3"/>
        <v>2048</v>
      </c>
      <c r="I38" s="86">
        <f t="shared" si="2"/>
        <v>0.26065630205201562</v>
      </c>
      <c r="J38" s="277">
        <f t="shared" si="4"/>
        <v>5.3</v>
      </c>
      <c r="K38" s="277">
        <f t="shared" si="5"/>
        <v>3.53</v>
      </c>
      <c r="L38" s="278">
        <f t="shared" si="6"/>
        <v>0.13</v>
      </c>
      <c r="M38" s="276">
        <f t="shared" si="7"/>
        <v>4.09</v>
      </c>
      <c r="N38" s="277">
        <f t="shared" si="8"/>
        <v>2.7199999999999998</v>
      </c>
      <c r="O38" s="278">
        <f t="shared" si="9"/>
        <v>0.11</v>
      </c>
      <c r="P38" s="276">
        <f t="shared" si="13"/>
        <v>1.21</v>
      </c>
      <c r="Q38" s="279">
        <f t="shared" si="13"/>
        <v>0.81</v>
      </c>
      <c r="R38" s="278">
        <f t="shared" si="13"/>
        <v>2.0000000000000004E-2</v>
      </c>
      <c r="S38" s="113">
        <f t="shared" si="1"/>
        <v>562796</v>
      </c>
      <c r="T38" s="75"/>
    </row>
    <row r="39" spans="1:26" x14ac:dyDescent="0.25">
      <c r="A39" s="44"/>
      <c r="B39" s="44"/>
      <c r="C39" s="44"/>
      <c r="F39" s="35"/>
      <c r="G39" s="35"/>
      <c r="H39" s="79">
        <f t="shared" si="3"/>
        <v>2049</v>
      </c>
      <c r="I39" s="86">
        <f t="shared" si="2"/>
        <v>0.27011122431740553</v>
      </c>
      <c r="J39" s="277">
        <f t="shared" si="4"/>
        <v>5.34</v>
      </c>
      <c r="K39" s="277">
        <f t="shared" si="5"/>
        <v>3.5599999999999996</v>
      </c>
      <c r="L39" s="278">
        <f t="shared" si="6"/>
        <v>0.13</v>
      </c>
      <c r="M39" s="276">
        <f t="shared" si="7"/>
        <v>4.12</v>
      </c>
      <c r="N39" s="277">
        <f t="shared" si="8"/>
        <v>2.75</v>
      </c>
      <c r="O39" s="278">
        <f t="shared" si="9"/>
        <v>0.11</v>
      </c>
      <c r="P39" s="276">
        <f t="shared" si="13"/>
        <v>1.2199999999999998</v>
      </c>
      <c r="Q39" s="279">
        <f t="shared" si="13"/>
        <v>0.80999999999999961</v>
      </c>
      <c r="R39" s="278">
        <f t="shared" si="13"/>
        <v>2.0000000000000004E-2</v>
      </c>
      <c r="S39" s="109">
        <f t="shared" si="1"/>
        <v>562839.99999999988</v>
      </c>
      <c r="T39" s="75"/>
    </row>
    <row r="40" spans="1:26" x14ac:dyDescent="0.25">
      <c r="A40" s="126"/>
      <c r="B40" s="126"/>
      <c r="C40" s="126"/>
      <c r="F40" s="35"/>
      <c r="G40" s="35"/>
      <c r="H40" s="79">
        <f t="shared" si="3"/>
        <v>2050</v>
      </c>
      <c r="I40" s="86">
        <f t="shared" si="2"/>
        <v>0.27963705849978604</v>
      </c>
      <c r="J40" s="277">
        <f t="shared" si="4"/>
        <v>5.38</v>
      </c>
      <c r="K40" s="277">
        <f t="shared" si="5"/>
        <v>3.59</v>
      </c>
      <c r="L40" s="278">
        <f t="shared" si="6"/>
        <v>0.13</v>
      </c>
      <c r="M40" s="276">
        <f t="shared" si="7"/>
        <v>4.1499999999999995</v>
      </c>
      <c r="N40" s="277">
        <f t="shared" si="8"/>
        <v>2.7699999999999996</v>
      </c>
      <c r="O40" s="278">
        <f t="shared" si="9"/>
        <v>0.11</v>
      </c>
      <c r="P40" s="276">
        <f t="shared" si="13"/>
        <v>1.2300000000000004</v>
      </c>
      <c r="Q40" s="279">
        <f t="shared" si="13"/>
        <v>0.82000000000000028</v>
      </c>
      <c r="R40" s="278">
        <f t="shared" si="13"/>
        <v>2.0000000000000004E-2</v>
      </c>
      <c r="S40" s="109">
        <f t="shared" si="1"/>
        <v>567396.00000000012</v>
      </c>
      <c r="T40" s="75"/>
    </row>
    <row r="41" spans="1:26" ht="15.75" customHeight="1" x14ac:dyDescent="0.35">
      <c r="A41" s="35" t="s">
        <v>111</v>
      </c>
      <c r="B41" s="13"/>
      <c r="C41" s="13"/>
      <c r="F41" s="35"/>
      <c r="G41" s="35"/>
      <c r="H41" s="79">
        <f t="shared" si="3"/>
        <v>2051</v>
      </c>
      <c r="I41" s="86">
        <f t="shared" si="2"/>
        <v>0.2892343364385348</v>
      </c>
      <c r="J41" s="277">
        <f t="shared" si="4"/>
        <v>5.42</v>
      </c>
      <c r="K41" s="277">
        <f t="shared" si="5"/>
        <v>3.61</v>
      </c>
      <c r="L41" s="278">
        <f t="shared" si="6"/>
        <v>0.13</v>
      </c>
      <c r="M41" s="276">
        <f t="shared" si="7"/>
        <v>4.18</v>
      </c>
      <c r="N41" s="277">
        <f t="shared" si="8"/>
        <v>2.78</v>
      </c>
      <c r="O41" s="278">
        <f t="shared" si="9"/>
        <v>0.11</v>
      </c>
      <c r="P41" s="276">
        <f t="shared" si="13"/>
        <v>1.2400000000000002</v>
      </c>
      <c r="Q41" s="279">
        <f t="shared" si="13"/>
        <v>0.83000000000000007</v>
      </c>
      <c r="R41" s="278">
        <f t="shared" si="13"/>
        <v>2.0000000000000004E-2</v>
      </c>
      <c r="S41" s="109">
        <f t="shared" si="1"/>
        <v>571952.00000000012</v>
      </c>
      <c r="T41" s="94"/>
      <c r="U41" s="94"/>
      <c r="V41" s="94"/>
      <c r="W41" s="94"/>
      <c r="X41" s="94"/>
      <c r="Y41" s="94"/>
      <c r="Z41" s="94"/>
    </row>
    <row r="42" spans="1:26" x14ac:dyDescent="0.25">
      <c r="A42" s="191" t="s">
        <v>36</v>
      </c>
      <c r="B42" s="300" t="s">
        <v>112</v>
      </c>
      <c r="C42" s="189">
        <v>7.4999999999999997E-3</v>
      </c>
      <c r="D42" s="267" t="s">
        <v>113</v>
      </c>
      <c r="F42" s="35"/>
      <c r="G42" s="35"/>
      <c r="H42" s="79">
        <f t="shared" si="3"/>
        <v>2052</v>
      </c>
      <c r="I42" s="86">
        <f t="shared" si="2"/>
        <v>0.29890359396182387</v>
      </c>
      <c r="J42" s="277">
        <f t="shared" si="4"/>
        <v>5.46</v>
      </c>
      <c r="K42" s="277">
        <f t="shared" si="5"/>
        <v>3.6399999999999997</v>
      </c>
      <c r="L42" s="278">
        <f t="shared" si="6"/>
        <v>0.13</v>
      </c>
      <c r="M42" s="276">
        <f t="shared" si="7"/>
        <v>4.21</v>
      </c>
      <c r="N42" s="277">
        <f t="shared" si="8"/>
        <v>2.8099999999999996</v>
      </c>
      <c r="O42" s="278">
        <f t="shared" si="9"/>
        <v>0.11</v>
      </c>
      <c r="P42" s="276">
        <f t="shared" si="13"/>
        <v>1.25</v>
      </c>
      <c r="Q42" s="279">
        <f t="shared" si="13"/>
        <v>0.83000000000000007</v>
      </c>
      <c r="R42" s="278">
        <f t="shared" si="13"/>
        <v>2.0000000000000004E-2</v>
      </c>
      <c r="S42" s="109">
        <f t="shared" si="1"/>
        <v>571996.00000000012</v>
      </c>
      <c r="T42" s="94"/>
      <c r="U42" s="94"/>
      <c r="V42" s="94"/>
      <c r="W42" s="94"/>
      <c r="X42" s="94"/>
      <c r="Y42" s="94"/>
      <c r="Z42" s="94"/>
    </row>
    <row r="43" spans="1:26" x14ac:dyDescent="0.25">
      <c r="A43" s="192" t="s">
        <v>37</v>
      </c>
      <c r="B43" s="267" t="s">
        <v>116</v>
      </c>
      <c r="F43" s="35"/>
      <c r="G43" s="35"/>
      <c r="H43" s="79">
        <f t="shared" si="3"/>
        <v>2053</v>
      </c>
      <c r="I43" s="86">
        <f t="shared" si="2"/>
        <v>0.30864537091653754</v>
      </c>
      <c r="J43" s="277">
        <f t="shared" si="4"/>
        <v>5.5</v>
      </c>
      <c r="K43" s="277">
        <f t="shared" si="5"/>
        <v>3.67</v>
      </c>
      <c r="L43" s="278">
        <f t="shared" si="6"/>
        <v>0.14000000000000001</v>
      </c>
      <c r="M43" s="276">
        <f t="shared" si="7"/>
        <v>4.24</v>
      </c>
      <c r="N43" s="277">
        <f t="shared" si="8"/>
        <v>2.8299999999999996</v>
      </c>
      <c r="O43" s="278">
        <f t="shared" si="9"/>
        <v>0.11</v>
      </c>
      <c r="P43" s="276">
        <f t="shared" si="13"/>
        <v>1.2599999999999998</v>
      </c>
      <c r="Q43" s="279">
        <f t="shared" si="13"/>
        <v>0.8400000000000003</v>
      </c>
      <c r="R43" s="278">
        <f t="shared" si="13"/>
        <v>3.0000000000000013E-2</v>
      </c>
      <c r="S43" s="109">
        <f t="shared" si="1"/>
        <v>672552.00000000023</v>
      </c>
      <c r="T43" s="94"/>
      <c r="U43" s="94"/>
      <c r="V43" s="94"/>
      <c r="W43" s="94"/>
      <c r="X43" s="94"/>
      <c r="Y43" s="94"/>
      <c r="Z43" s="94"/>
    </row>
    <row r="44" spans="1:26" x14ac:dyDescent="0.25">
      <c r="A44" s="9"/>
      <c r="B44" s="43"/>
      <c r="C44" s="43"/>
      <c r="F44" s="35"/>
      <c r="G44" s="37"/>
      <c r="H44" s="79">
        <f t="shared" ref="H44:H47" si="14">H43+1</f>
        <v>2054</v>
      </c>
      <c r="I44" s="86">
        <f t="shared" ref="I44:I47" si="15">((1+$C$42)^(H44-$H$7))-1</f>
        <v>0.31846021119841161</v>
      </c>
      <c r="J44" s="277">
        <f t="shared" ref="J44:J47" si="16">ROUNDUP($J$7*(1+I44),2)</f>
        <v>5.54</v>
      </c>
      <c r="K44" s="277">
        <f t="shared" ref="K44:K47" si="17">ROUNDUP($K$7*(1+I44),2)</f>
        <v>3.6999999999999997</v>
      </c>
      <c r="L44" s="278">
        <f t="shared" ref="L44:L47" si="18">ROUNDUP($L$7*(1+I44),2)</f>
        <v>0.14000000000000001</v>
      </c>
      <c r="M44" s="276">
        <f t="shared" ref="M44:M47" si="19">ROUNDUP(J44*$C$23,2)</f>
        <v>4.2699999999999996</v>
      </c>
      <c r="N44" s="277">
        <f t="shared" ref="N44:N47" si="20">ROUNDUP(K44*$C$23,2)</f>
        <v>2.8499999999999996</v>
      </c>
      <c r="O44" s="278">
        <f t="shared" ref="O44:O47" si="21">ROUNDUP(L44*$C$23,2)</f>
        <v>0.11</v>
      </c>
      <c r="P44" s="276">
        <f t="shared" ref="P44:P47" si="22">ABS(J44-M44)</f>
        <v>1.2700000000000005</v>
      </c>
      <c r="Q44" s="279">
        <f t="shared" ref="Q44:Q47" si="23">ABS(K44-N44)</f>
        <v>0.85000000000000009</v>
      </c>
      <c r="R44" s="278">
        <f t="shared" ref="R44:R47" si="24">ABS(L44-O44)</f>
        <v>3.0000000000000013E-2</v>
      </c>
      <c r="S44" s="109">
        <f t="shared" ref="S44:S47" si="25">((P44*$B$5)+(Q44*$B$6)+(R44*$B$7))</f>
        <v>677108.00000000023</v>
      </c>
      <c r="T44" s="75"/>
    </row>
    <row r="45" spans="1:26" ht="15" customHeight="1" x14ac:dyDescent="0.25">
      <c r="A45" s="43"/>
      <c r="B45" s="43"/>
      <c r="C45" s="43"/>
      <c r="F45" s="35"/>
      <c r="G45" s="37"/>
      <c r="H45" s="79">
        <f t="shared" si="14"/>
        <v>2055</v>
      </c>
      <c r="I45" s="86">
        <f t="shared" si="15"/>
        <v>0.32834866278239994</v>
      </c>
      <c r="J45" s="277">
        <f t="shared" si="16"/>
        <v>5.58</v>
      </c>
      <c r="K45" s="277">
        <f t="shared" si="17"/>
        <v>3.7199999999999998</v>
      </c>
      <c r="L45" s="278">
        <f t="shared" si="18"/>
        <v>0.14000000000000001</v>
      </c>
      <c r="M45" s="276">
        <f t="shared" si="19"/>
        <v>4.3</v>
      </c>
      <c r="N45" s="277">
        <f t="shared" si="20"/>
        <v>2.8699999999999997</v>
      </c>
      <c r="O45" s="278">
        <f t="shared" si="21"/>
        <v>0.11</v>
      </c>
      <c r="P45" s="276">
        <f t="shared" si="22"/>
        <v>1.2800000000000002</v>
      </c>
      <c r="Q45" s="279">
        <f t="shared" si="23"/>
        <v>0.85000000000000009</v>
      </c>
      <c r="R45" s="278">
        <f t="shared" si="24"/>
        <v>3.0000000000000013E-2</v>
      </c>
      <c r="S45" s="109">
        <f t="shared" si="25"/>
        <v>677152.00000000023</v>
      </c>
      <c r="T45" s="75"/>
    </row>
    <row r="46" spans="1:26" x14ac:dyDescent="0.25">
      <c r="A46" s="9"/>
      <c r="B46" s="43"/>
      <c r="C46" s="43"/>
      <c r="F46" s="35"/>
      <c r="G46" s="37"/>
      <c r="H46" s="79">
        <f t="shared" si="14"/>
        <v>2056</v>
      </c>
      <c r="I46" s="86">
        <f t="shared" si="15"/>
        <v>0.33831127775326819</v>
      </c>
      <c r="J46" s="277">
        <f t="shared" si="16"/>
        <v>5.63</v>
      </c>
      <c r="K46" s="277">
        <f t="shared" si="17"/>
        <v>3.75</v>
      </c>
      <c r="L46" s="278">
        <f t="shared" si="18"/>
        <v>0.14000000000000001</v>
      </c>
      <c r="M46" s="276">
        <f t="shared" si="19"/>
        <v>4.34</v>
      </c>
      <c r="N46" s="277">
        <f t="shared" si="20"/>
        <v>2.8899999999999997</v>
      </c>
      <c r="O46" s="278">
        <f t="shared" si="21"/>
        <v>0.11</v>
      </c>
      <c r="P46" s="276">
        <f t="shared" si="22"/>
        <v>1.29</v>
      </c>
      <c r="Q46" s="279">
        <f t="shared" si="23"/>
        <v>0.86000000000000032</v>
      </c>
      <c r="R46" s="278">
        <f t="shared" si="24"/>
        <v>3.0000000000000013E-2</v>
      </c>
      <c r="S46" s="109">
        <f t="shared" si="25"/>
        <v>681708.00000000023</v>
      </c>
      <c r="T46" s="75"/>
    </row>
    <row r="47" spans="1:26" ht="15.75" thickBot="1" x14ac:dyDescent="0.3">
      <c r="A47" s="43"/>
      <c r="B47" s="43"/>
      <c r="C47" s="43"/>
      <c r="F47" s="35"/>
      <c r="G47" s="37"/>
      <c r="H47" s="329">
        <f t="shared" si="14"/>
        <v>2057</v>
      </c>
      <c r="I47" s="377">
        <f t="shared" si="15"/>
        <v>0.34834861233641767</v>
      </c>
      <c r="J47" s="378">
        <f t="shared" si="16"/>
        <v>5.67</v>
      </c>
      <c r="K47" s="378">
        <f t="shared" si="17"/>
        <v>3.78</v>
      </c>
      <c r="L47" s="379">
        <f t="shared" si="18"/>
        <v>0.14000000000000001</v>
      </c>
      <c r="M47" s="380">
        <f t="shared" si="19"/>
        <v>4.37</v>
      </c>
      <c r="N47" s="378">
        <f t="shared" si="20"/>
        <v>2.92</v>
      </c>
      <c r="O47" s="379">
        <f t="shared" si="21"/>
        <v>0.11</v>
      </c>
      <c r="P47" s="380">
        <f t="shared" si="22"/>
        <v>1.2999999999999998</v>
      </c>
      <c r="Q47" s="381">
        <f t="shared" si="23"/>
        <v>0.85999999999999988</v>
      </c>
      <c r="R47" s="379">
        <f t="shared" si="24"/>
        <v>3.0000000000000013E-2</v>
      </c>
      <c r="S47" s="95">
        <f t="shared" si="25"/>
        <v>681752</v>
      </c>
      <c r="T47" s="75"/>
    </row>
    <row r="48" spans="1:26" ht="15.75" thickBot="1" x14ac:dyDescent="0.3">
      <c r="A48" s="43"/>
      <c r="B48" s="43"/>
      <c r="C48" s="43"/>
      <c r="F48" s="35"/>
      <c r="G48" s="9"/>
      <c r="H48" s="97"/>
      <c r="I48" s="98"/>
      <c r="J48" s="97"/>
      <c r="K48" s="99"/>
      <c r="L48" s="99"/>
      <c r="M48" s="99"/>
      <c r="N48" s="99"/>
      <c r="O48" s="99"/>
      <c r="P48" s="9"/>
      <c r="R48" s="204" t="s">
        <v>10</v>
      </c>
      <c r="S48" s="95">
        <f>SUM(S7:S43)</f>
        <v>14701744</v>
      </c>
      <c r="T48" s="75"/>
    </row>
    <row r="49" spans="1:20" x14ac:dyDescent="0.25">
      <c r="A49" s="9"/>
      <c r="B49" s="43"/>
      <c r="C49" s="43"/>
      <c r="F49" s="35"/>
      <c r="G49" s="9"/>
      <c r="H49" s="97"/>
      <c r="I49" s="98"/>
      <c r="J49" s="97"/>
      <c r="K49" s="99"/>
      <c r="L49" s="99"/>
      <c r="M49" s="99"/>
      <c r="N49" s="99"/>
      <c r="O49" s="99"/>
      <c r="P49" s="9"/>
      <c r="T49" s="75"/>
    </row>
    <row r="50" spans="1:20" x14ac:dyDescent="0.25">
      <c r="A50" s="43"/>
      <c r="B50" s="43"/>
      <c r="C50" s="43"/>
      <c r="G50" s="9"/>
      <c r="T50" s="75"/>
    </row>
    <row r="51" spans="1:20" x14ac:dyDescent="0.25">
      <c r="A51" s="9"/>
      <c r="B51" s="43"/>
      <c r="C51" s="43"/>
      <c r="G51" s="9"/>
      <c r="T51" s="75"/>
    </row>
    <row r="52" spans="1:20" x14ac:dyDescent="0.25">
      <c r="A52" s="43"/>
      <c r="B52" s="43"/>
      <c r="C52" s="43"/>
      <c r="G52" s="9"/>
      <c r="H52" s="97"/>
      <c r="I52" s="98"/>
      <c r="J52" s="97"/>
      <c r="K52" s="99"/>
      <c r="L52" s="99"/>
      <c r="M52" s="99"/>
      <c r="N52" s="99"/>
      <c r="O52" s="99"/>
      <c r="P52" s="9"/>
      <c r="T52" s="75"/>
    </row>
    <row r="53" spans="1:20" x14ac:dyDescent="0.25">
      <c r="A53" s="9"/>
      <c r="B53" s="43"/>
      <c r="C53" s="43"/>
      <c r="G53" s="9"/>
      <c r="H53" s="97"/>
      <c r="I53" s="98"/>
      <c r="J53" s="97"/>
      <c r="K53" s="99"/>
      <c r="L53" s="99"/>
      <c r="M53" s="99"/>
      <c r="N53" s="99"/>
      <c r="O53" s="99"/>
      <c r="P53" s="9"/>
      <c r="T53" s="75"/>
    </row>
    <row r="54" spans="1:20" x14ac:dyDescent="0.25">
      <c r="A54" s="43"/>
      <c r="B54" s="43"/>
      <c r="C54" s="43"/>
      <c r="G54" s="9"/>
      <c r="J54" s="99"/>
      <c r="K54" s="99"/>
      <c r="L54" s="99"/>
      <c r="M54" s="99"/>
      <c r="N54" s="99"/>
      <c r="O54" s="99"/>
      <c r="P54" s="9"/>
      <c r="T54" s="75"/>
    </row>
    <row r="55" spans="1:20" x14ac:dyDescent="0.25">
      <c r="A55" s="9"/>
      <c r="B55" s="43"/>
      <c r="C55" s="43"/>
      <c r="G55" s="9"/>
      <c r="J55" s="97"/>
      <c r="K55" s="99"/>
      <c r="L55" s="99"/>
      <c r="M55" s="99"/>
      <c r="N55" s="99"/>
      <c r="O55" s="99"/>
      <c r="P55" s="9"/>
      <c r="T55" s="75"/>
    </row>
    <row r="56" spans="1:20" x14ac:dyDescent="0.25">
      <c r="A56" s="43"/>
      <c r="B56" s="43"/>
      <c r="C56" s="43"/>
      <c r="G56" s="9"/>
      <c r="J56" s="97"/>
      <c r="K56" s="99"/>
      <c r="L56" s="99"/>
      <c r="M56" s="99"/>
      <c r="N56" s="99"/>
      <c r="O56" s="99"/>
      <c r="P56" s="9"/>
      <c r="T56" s="75"/>
    </row>
    <row r="57" spans="1:20" x14ac:dyDescent="0.25">
      <c r="A57" s="43"/>
      <c r="B57" s="43"/>
      <c r="C57" s="43"/>
      <c r="G57" s="9"/>
      <c r="J57" s="97"/>
      <c r="K57" s="99"/>
      <c r="L57" s="99"/>
      <c r="M57" s="99"/>
      <c r="N57" s="99"/>
      <c r="O57" s="99"/>
      <c r="P57" s="9"/>
      <c r="T57" s="75"/>
    </row>
    <row r="58" spans="1:20" x14ac:dyDescent="0.25">
      <c r="A58" s="9"/>
      <c r="B58" s="43"/>
      <c r="C58" s="43"/>
      <c r="G58" s="9"/>
      <c r="J58" s="97"/>
      <c r="K58" s="99"/>
      <c r="L58" s="99"/>
      <c r="M58" s="99"/>
      <c r="N58" s="99"/>
      <c r="O58" s="99"/>
      <c r="P58" s="9"/>
      <c r="T58" s="75"/>
    </row>
    <row r="59" spans="1:20" x14ac:dyDescent="0.25">
      <c r="A59" s="43"/>
      <c r="B59" s="43"/>
      <c r="C59" s="43"/>
      <c r="G59" s="9"/>
      <c r="J59" s="97"/>
      <c r="K59" s="99"/>
      <c r="L59" s="99"/>
      <c r="M59" s="99"/>
      <c r="N59" s="99"/>
      <c r="O59" s="99"/>
      <c r="P59" s="9"/>
      <c r="T59" s="75"/>
    </row>
    <row r="60" spans="1:20" x14ac:dyDescent="0.25">
      <c r="A60" s="9"/>
      <c r="B60" s="43"/>
      <c r="C60" s="43"/>
      <c r="G60" s="9"/>
      <c r="J60" s="97"/>
      <c r="K60" s="99"/>
      <c r="L60" s="99"/>
      <c r="M60" s="99"/>
      <c r="N60" s="99"/>
      <c r="O60" s="99"/>
      <c r="P60" s="9"/>
      <c r="Q60" s="9"/>
      <c r="T60" s="75"/>
    </row>
    <row r="61" spans="1:20" x14ac:dyDescent="0.25">
      <c r="A61" s="43"/>
      <c r="B61" s="43"/>
      <c r="C61" s="43"/>
      <c r="G61" s="9"/>
      <c r="H61" s="97"/>
      <c r="I61" s="98"/>
      <c r="J61" s="97"/>
      <c r="K61" s="99"/>
      <c r="L61" s="99"/>
      <c r="M61" s="99"/>
      <c r="N61" s="99"/>
      <c r="O61" s="99"/>
      <c r="P61" s="9"/>
      <c r="T61" s="75"/>
    </row>
    <row r="62" spans="1:20" x14ac:dyDescent="0.25">
      <c r="A62" s="9"/>
      <c r="B62" s="43"/>
      <c r="C62" s="43"/>
      <c r="G62" s="9"/>
      <c r="H62" s="97"/>
      <c r="I62" s="100"/>
      <c r="J62" s="101"/>
      <c r="K62" s="101"/>
      <c r="L62" s="99"/>
      <c r="M62" s="99"/>
      <c r="N62" s="99"/>
      <c r="O62" s="99"/>
      <c r="P62" s="102"/>
      <c r="Q62" s="75"/>
      <c r="R62" s="75"/>
      <c r="S62" s="75"/>
      <c r="T62" s="75"/>
    </row>
    <row r="63" spans="1:20" ht="15" customHeight="1" x14ac:dyDescent="0.25">
      <c r="A63" s="43"/>
      <c r="B63" s="43"/>
      <c r="C63" s="43"/>
      <c r="G63" s="9"/>
      <c r="H63" s="97"/>
      <c r="I63" s="100"/>
      <c r="J63" s="97"/>
      <c r="K63" s="101"/>
      <c r="L63" s="99"/>
      <c r="M63" s="99"/>
      <c r="N63" s="99"/>
      <c r="O63" s="99"/>
      <c r="P63" s="103"/>
      <c r="Q63" s="35"/>
      <c r="R63" s="35"/>
      <c r="S63" s="35"/>
      <c r="T63" s="75"/>
    </row>
    <row r="64" spans="1:20" x14ac:dyDescent="0.25">
      <c r="A64" s="9"/>
      <c r="B64" s="43"/>
      <c r="C64" s="43"/>
      <c r="G64" s="9"/>
      <c r="H64" s="97"/>
      <c r="I64" s="100"/>
      <c r="J64" s="97"/>
      <c r="K64" s="101"/>
      <c r="L64" s="99"/>
      <c r="M64" s="99"/>
      <c r="N64" s="99"/>
      <c r="O64" s="99"/>
      <c r="P64" s="37"/>
      <c r="Q64" s="35"/>
      <c r="R64" s="35"/>
      <c r="S64" s="35"/>
      <c r="T64" s="75"/>
    </row>
    <row r="65" spans="1:20" x14ac:dyDescent="0.25">
      <c r="A65" s="9"/>
      <c r="B65" s="9"/>
      <c r="C65" s="9"/>
      <c r="G65" s="9"/>
      <c r="H65" s="97"/>
      <c r="I65" s="100"/>
      <c r="J65" s="97"/>
      <c r="K65" s="101"/>
      <c r="L65" s="99"/>
      <c r="M65" s="99"/>
      <c r="N65" s="99"/>
      <c r="O65" s="99"/>
      <c r="P65" s="37"/>
      <c r="Q65" s="35"/>
      <c r="R65" s="35"/>
      <c r="S65" s="35"/>
      <c r="T65" s="35"/>
    </row>
    <row r="66" spans="1:20" x14ac:dyDescent="0.25">
      <c r="A66" s="9"/>
      <c r="B66" s="9"/>
      <c r="C66" s="9"/>
      <c r="G66" s="9"/>
      <c r="H66" s="97"/>
      <c r="I66" s="100"/>
      <c r="J66" s="97"/>
      <c r="K66" s="101"/>
      <c r="L66" s="99"/>
      <c r="M66" s="99"/>
      <c r="N66" s="99"/>
      <c r="O66" s="99"/>
      <c r="P66" s="37"/>
      <c r="Q66" s="35"/>
      <c r="R66" s="35"/>
      <c r="S66" s="35"/>
      <c r="T66" s="35"/>
    </row>
    <row r="67" spans="1:20" x14ac:dyDescent="0.25">
      <c r="A67" s="9"/>
      <c r="B67" s="9"/>
      <c r="C67" s="9"/>
      <c r="G67" s="9"/>
      <c r="H67" s="97"/>
      <c r="I67" s="100"/>
      <c r="J67" s="97"/>
      <c r="K67" s="101"/>
      <c r="L67" s="99"/>
      <c r="M67" s="99"/>
      <c r="N67" s="99"/>
      <c r="O67" s="99"/>
      <c r="P67" s="37"/>
      <c r="Q67" s="35"/>
      <c r="R67" s="35"/>
      <c r="S67" s="35"/>
      <c r="T67" s="35"/>
    </row>
    <row r="68" spans="1:20" x14ac:dyDescent="0.25">
      <c r="A68" s="9"/>
      <c r="B68" s="9"/>
      <c r="C68" s="9"/>
      <c r="G68" s="9"/>
      <c r="H68" s="97"/>
      <c r="I68" s="100"/>
      <c r="J68" s="97"/>
      <c r="K68" s="101"/>
      <c r="L68" s="99"/>
      <c r="M68" s="99"/>
      <c r="N68" s="99"/>
      <c r="O68" s="99"/>
      <c r="P68" s="37"/>
      <c r="Q68" s="35"/>
      <c r="R68" s="35"/>
      <c r="S68" s="35"/>
      <c r="T68" s="35"/>
    </row>
    <row r="69" spans="1:20" x14ac:dyDescent="0.25">
      <c r="G69" s="9"/>
      <c r="H69" s="97"/>
      <c r="I69" s="100"/>
      <c r="J69" s="97"/>
      <c r="K69" s="101"/>
      <c r="L69" s="99"/>
      <c r="M69" s="99"/>
      <c r="N69" s="99"/>
      <c r="O69" s="99"/>
      <c r="P69" s="9"/>
      <c r="T69" s="35"/>
    </row>
    <row r="70" spans="1:20" x14ac:dyDescent="0.25">
      <c r="G70" s="9"/>
      <c r="H70" s="97"/>
      <c r="I70" s="100"/>
      <c r="J70" s="97"/>
      <c r="K70" s="101"/>
      <c r="L70" s="99"/>
      <c r="M70" s="99"/>
      <c r="N70" s="99"/>
      <c r="O70" s="99"/>
      <c r="P70" s="9"/>
      <c r="T70" s="35"/>
    </row>
    <row r="71" spans="1:20" x14ac:dyDescent="0.25">
      <c r="G71" s="9"/>
      <c r="H71" s="97"/>
      <c r="I71" s="100"/>
      <c r="J71" s="97"/>
      <c r="K71" s="101"/>
      <c r="L71" s="99"/>
      <c r="M71" s="99"/>
      <c r="N71" s="99"/>
      <c r="O71" s="99"/>
      <c r="P71" s="9"/>
      <c r="T71" s="35"/>
    </row>
    <row r="72" spans="1:20" x14ac:dyDescent="0.25">
      <c r="G72" s="9"/>
      <c r="H72" s="97"/>
      <c r="I72" s="100"/>
      <c r="J72" s="97"/>
      <c r="K72" s="101"/>
      <c r="L72" s="99"/>
      <c r="M72" s="99"/>
      <c r="N72" s="99"/>
      <c r="O72" s="99"/>
      <c r="P72" s="104"/>
      <c r="Q72" s="77"/>
      <c r="R72" s="75"/>
      <c r="S72" s="75"/>
      <c r="T72" s="35"/>
    </row>
    <row r="73" spans="1:20" x14ac:dyDescent="0.25">
      <c r="G73" s="9"/>
      <c r="H73" s="97"/>
      <c r="I73" s="100"/>
      <c r="J73" s="97"/>
      <c r="K73" s="101"/>
      <c r="L73" s="99"/>
      <c r="M73" s="99"/>
      <c r="N73" s="99"/>
      <c r="O73" s="99"/>
      <c r="P73" s="76"/>
      <c r="Q73" s="77"/>
      <c r="R73" s="75"/>
      <c r="S73" s="76"/>
      <c r="T73" s="35"/>
    </row>
    <row r="74" spans="1:20" x14ac:dyDescent="0.25">
      <c r="G74" s="9"/>
      <c r="H74" s="97"/>
      <c r="I74" s="100"/>
      <c r="J74" s="97"/>
      <c r="K74" s="101"/>
      <c r="L74" s="99"/>
      <c r="M74" s="99"/>
      <c r="N74" s="99"/>
      <c r="O74" s="99"/>
      <c r="P74" s="76"/>
      <c r="Q74" s="77"/>
      <c r="R74" s="75"/>
      <c r="S74" s="75"/>
      <c r="T74" s="35"/>
    </row>
    <row r="75" spans="1:20" x14ac:dyDescent="0.25">
      <c r="G75" s="9"/>
      <c r="H75" s="97"/>
      <c r="I75" s="100"/>
      <c r="J75" s="97"/>
      <c r="K75" s="101"/>
      <c r="L75" s="99"/>
      <c r="M75" s="99"/>
      <c r="N75" s="99"/>
      <c r="O75" s="99"/>
      <c r="P75" s="76"/>
      <c r="Q75" s="75"/>
      <c r="R75" s="75"/>
      <c r="S75" s="75"/>
      <c r="T75" s="35"/>
    </row>
    <row r="76" spans="1:20" x14ac:dyDescent="0.25">
      <c r="G76" s="9"/>
      <c r="H76" s="97"/>
      <c r="I76" s="100"/>
      <c r="J76" s="97"/>
      <c r="K76" s="101"/>
      <c r="L76" s="99"/>
      <c r="M76" s="99"/>
      <c r="N76" s="99"/>
      <c r="O76" s="99"/>
      <c r="P76" s="76"/>
      <c r="Q76" s="75"/>
      <c r="R76" s="75"/>
      <c r="S76" s="75"/>
    </row>
    <row r="77" spans="1:20" x14ac:dyDescent="0.25">
      <c r="G77" s="9"/>
      <c r="H77" s="105"/>
      <c r="I77" s="9"/>
      <c r="J77" s="9"/>
      <c r="K77" s="9"/>
      <c r="L77" s="9"/>
      <c r="M77" s="9"/>
      <c r="N77" s="9"/>
      <c r="O77" s="9"/>
      <c r="P77" s="76"/>
      <c r="Q77" s="75"/>
      <c r="R77" s="75"/>
      <c r="S77" s="75"/>
    </row>
    <row r="78" spans="1:20" x14ac:dyDescent="0.25">
      <c r="G78" s="9"/>
      <c r="H78" s="9"/>
      <c r="I78" s="9"/>
      <c r="J78" s="9"/>
      <c r="K78" s="9"/>
      <c r="L78" s="9"/>
      <c r="M78" s="9"/>
      <c r="N78" s="9"/>
      <c r="O78" s="9"/>
      <c r="P78" s="76"/>
      <c r="Q78" s="75"/>
      <c r="R78" s="75"/>
      <c r="S78" s="75"/>
    </row>
    <row r="79" spans="1:20" x14ac:dyDescent="0.25"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20" x14ac:dyDescent="0.25">
      <c r="G80" s="9"/>
    </row>
    <row r="81" spans="7:7" x14ac:dyDescent="0.25">
      <c r="G81" s="9"/>
    </row>
  </sheetData>
  <mergeCells count="20">
    <mergeCell ref="A14:B15"/>
    <mergeCell ref="C14:C15"/>
    <mergeCell ref="A22:C22"/>
    <mergeCell ref="A23:B23"/>
    <mergeCell ref="A25:F25"/>
    <mergeCell ref="H4:L4"/>
    <mergeCell ref="M4:O4"/>
    <mergeCell ref="P4:R4"/>
    <mergeCell ref="S4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35" right="0.2" top="0.75" bottom="0.75" header="0.3" footer="0.3"/>
  <pageSetup paperSize="133" scale="7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8D4DD-0665-4386-9705-187C2E22B018}">
  <sheetPr>
    <pageSetUpPr fitToPage="1"/>
  </sheetPr>
  <dimension ref="A1:Z81"/>
  <sheetViews>
    <sheetView view="pageBreakPreview" zoomScale="55" zoomScaleNormal="90" zoomScaleSheetLayoutView="55" workbookViewId="0">
      <selection activeCell="T16" sqref="T16"/>
    </sheetView>
  </sheetViews>
  <sheetFormatPr defaultRowHeight="15" x14ac:dyDescent="0.25"/>
  <cols>
    <col min="1" max="1" width="13.85546875" style="267" customWidth="1"/>
    <col min="2" max="2" width="14.5703125" style="267" customWidth="1"/>
    <col min="3" max="3" width="14.42578125" style="267" customWidth="1"/>
    <col min="4" max="4" width="11.85546875" style="267" customWidth="1"/>
    <col min="5" max="5" width="14" style="267" customWidth="1"/>
    <col min="6" max="8" width="9.140625" style="267"/>
    <col min="9" max="9" width="28.7109375" style="267" customWidth="1"/>
    <col min="10" max="15" width="14.7109375" style="267" customWidth="1"/>
    <col min="16" max="18" width="14.28515625" style="267" customWidth="1"/>
    <col min="19" max="19" width="19" style="267" customWidth="1"/>
    <col min="20" max="20" width="15" style="267" customWidth="1"/>
    <col min="21" max="21" width="16.140625" style="267" customWidth="1"/>
    <col min="22" max="22" width="16.85546875" style="267" customWidth="1"/>
    <col min="23" max="23" width="15" style="267" customWidth="1"/>
    <col min="24" max="24" width="34.5703125" style="267" customWidth="1"/>
    <col min="25" max="16384" width="9.140625" style="267"/>
  </cols>
  <sheetData>
    <row r="1" spans="1:24" ht="15.75" x14ac:dyDescent="0.25">
      <c r="A1" s="62" t="s">
        <v>166</v>
      </c>
    </row>
    <row r="2" spans="1:24" ht="15.75" x14ac:dyDescent="0.25">
      <c r="A2" s="62" t="s">
        <v>8</v>
      </c>
      <c r="B2" s="35"/>
      <c r="C2" s="35"/>
      <c r="D2" s="35"/>
      <c r="E2" s="35"/>
      <c r="F2" s="3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4" ht="15.75" thickBot="1" x14ac:dyDescent="0.3">
      <c r="A3" s="37"/>
      <c r="B3" s="37"/>
      <c r="C3" s="201"/>
      <c r="D3" s="202"/>
      <c r="E3" s="202"/>
      <c r="F3" s="3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4" ht="15.75" thickBot="1" x14ac:dyDescent="0.3">
      <c r="A4" s="63" t="s">
        <v>5</v>
      </c>
      <c r="B4" s="64" t="s">
        <v>28</v>
      </c>
      <c r="C4" s="65"/>
      <c r="D4" s="37"/>
      <c r="E4" s="35"/>
      <c r="F4" s="35"/>
      <c r="H4" s="552" t="s">
        <v>118</v>
      </c>
      <c r="I4" s="553"/>
      <c r="J4" s="553"/>
      <c r="K4" s="553"/>
      <c r="L4" s="554"/>
      <c r="M4" s="552" t="s">
        <v>119</v>
      </c>
      <c r="N4" s="553"/>
      <c r="O4" s="554"/>
      <c r="P4" s="552" t="s">
        <v>120</v>
      </c>
      <c r="Q4" s="553"/>
      <c r="R4" s="554"/>
      <c r="S4" s="560" t="s">
        <v>268</v>
      </c>
      <c r="T4" s="75"/>
    </row>
    <row r="5" spans="1:24" ht="17.25" x14ac:dyDescent="0.25">
      <c r="A5" s="66" t="s">
        <v>191</v>
      </c>
      <c r="B5" s="67">
        <v>4400</v>
      </c>
      <c r="C5" s="68"/>
      <c r="D5" s="37"/>
      <c r="E5" s="35"/>
      <c r="F5" s="35"/>
      <c r="H5" s="563" t="s">
        <v>4</v>
      </c>
      <c r="I5" s="565" t="s">
        <v>117</v>
      </c>
      <c r="J5" s="567" t="s">
        <v>12</v>
      </c>
      <c r="K5" s="567" t="s">
        <v>13</v>
      </c>
      <c r="L5" s="555" t="s">
        <v>34</v>
      </c>
      <c r="M5" s="569" t="s">
        <v>12</v>
      </c>
      <c r="N5" s="571" t="s">
        <v>13</v>
      </c>
      <c r="O5" s="573" t="s">
        <v>34</v>
      </c>
      <c r="P5" s="563" t="s">
        <v>12</v>
      </c>
      <c r="Q5" s="567" t="s">
        <v>13</v>
      </c>
      <c r="R5" s="555" t="s">
        <v>14</v>
      </c>
      <c r="S5" s="561"/>
      <c r="T5" s="75"/>
    </row>
    <row r="6" spans="1:24" ht="18" thickBot="1" x14ac:dyDescent="0.3">
      <c r="A6" s="69" t="s">
        <v>192</v>
      </c>
      <c r="B6" s="70">
        <v>451200</v>
      </c>
      <c r="C6" s="68"/>
      <c r="D6" s="37"/>
      <c r="E6" s="35"/>
      <c r="F6" s="35"/>
      <c r="H6" s="564"/>
      <c r="I6" s="566"/>
      <c r="J6" s="568"/>
      <c r="K6" s="568"/>
      <c r="L6" s="556"/>
      <c r="M6" s="570"/>
      <c r="N6" s="572"/>
      <c r="O6" s="574"/>
      <c r="P6" s="564"/>
      <c r="Q6" s="568"/>
      <c r="R6" s="556"/>
      <c r="S6" s="562"/>
      <c r="T6" s="75"/>
      <c r="W6" s="9"/>
      <c r="X6" s="9"/>
    </row>
    <row r="7" spans="1:24" ht="18" thickBot="1" x14ac:dyDescent="0.3">
      <c r="A7" s="71" t="s">
        <v>193</v>
      </c>
      <c r="B7" s="72">
        <v>9600000</v>
      </c>
      <c r="C7" s="68"/>
      <c r="D7" s="37"/>
      <c r="E7" s="35"/>
      <c r="F7" s="35"/>
      <c r="H7" s="78">
        <v>2017</v>
      </c>
      <c r="I7" s="200">
        <v>0</v>
      </c>
      <c r="J7" s="274">
        <f>C17</f>
        <v>3.9</v>
      </c>
      <c r="K7" s="274">
        <f>C18</f>
        <v>3.7</v>
      </c>
      <c r="L7" s="275">
        <v>0</v>
      </c>
      <c r="M7" s="273">
        <f t="shared" ref="M7:O9" si="0">ROUNDUP(J7*$C$23,2)</f>
        <v>3.01</v>
      </c>
      <c r="N7" s="274">
        <f t="shared" si="0"/>
        <v>2.8499999999999996</v>
      </c>
      <c r="O7" s="275">
        <f t="shared" si="0"/>
        <v>0</v>
      </c>
      <c r="P7" s="114"/>
      <c r="Q7" s="198"/>
      <c r="R7" s="199"/>
      <c r="S7" s="385">
        <f t="shared" ref="S7:S43" si="1">((P7*$B$5)+(Q7*$B$6)+(R7*$B$7))</f>
        <v>0</v>
      </c>
      <c r="T7" s="75"/>
      <c r="X7" s="9"/>
    </row>
    <row r="8" spans="1:24" x14ac:dyDescent="0.25">
      <c r="A8" s="73"/>
      <c r="B8" s="73"/>
      <c r="C8" s="35"/>
      <c r="D8" s="35"/>
      <c r="E8" s="35"/>
      <c r="F8" s="35"/>
      <c r="H8" s="79">
        <f>H7+1</f>
        <v>2018</v>
      </c>
      <c r="I8" s="86">
        <f t="shared" ref="I8:I43" si="2">((1+$C$42)^(H8-$H$7))-1</f>
        <v>7.5000000000000622E-3</v>
      </c>
      <c r="J8" s="277">
        <f>ROUNDUP($J$7*(1+I8),2)</f>
        <v>3.9299999999999997</v>
      </c>
      <c r="K8" s="277">
        <f>ROUNDUP($K$7*(1+I8),2)</f>
        <v>3.73</v>
      </c>
      <c r="L8" s="278">
        <f>ROUNDUP($L$7*(1+I8),2)</f>
        <v>0</v>
      </c>
      <c r="M8" s="276">
        <f t="shared" si="0"/>
        <v>3.03</v>
      </c>
      <c r="N8" s="277">
        <f t="shared" si="0"/>
        <v>2.88</v>
      </c>
      <c r="O8" s="278">
        <f t="shared" si="0"/>
        <v>0</v>
      </c>
      <c r="P8" s="79"/>
      <c r="Q8" s="85"/>
      <c r="R8" s="87"/>
      <c r="S8" s="109">
        <f t="shared" si="1"/>
        <v>0</v>
      </c>
      <c r="T8" s="75"/>
    </row>
    <row r="9" spans="1:24" x14ac:dyDescent="0.25">
      <c r="A9" s="73" t="s">
        <v>196</v>
      </c>
      <c r="B9" s="73"/>
      <c r="C9" s="35"/>
      <c r="D9" s="35"/>
      <c r="E9" s="35"/>
      <c r="F9" s="35"/>
      <c r="H9" s="79">
        <f t="shared" ref="H9:H43" si="3">H8+1</f>
        <v>2019</v>
      </c>
      <c r="I9" s="86">
        <f t="shared" si="2"/>
        <v>1.5056250000000215E-2</v>
      </c>
      <c r="J9" s="277">
        <f t="shared" ref="J9:J43" si="4">ROUNDUP($J$7*(1+I9),2)</f>
        <v>3.96</v>
      </c>
      <c r="K9" s="277">
        <f t="shared" ref="K9:K43" si="5">ROUNDUP($K$7*(1+I9),2)</f>
        <v>3.76</v>
      </c>
      <c r="L9" s="278">
        <f t="shared" ref="L9:L43" si="6">ROUNDUP($L$7*(1+I9),2)</f>
        <v>0</v>
      </c>
      <c r="M9" s="276">
        <f t="shared" si="0"/>
        <v>3.05</v>
      </c>
      <c r="N9" s="277">
        <f t="shared" si="0"/>
        <v>2.9</v>
      </c>
      <c r="O9" s="278">
        <f t="shared" si="0"/>
        <v>0</v>
      </c>
      <c r="P9" s="79"/>
      <c r="Q9" s="85"/>
      <c r="R9" s="87"/>
      <c r="S9" s="109">
        <f t="shared" si="1"/>
        <v>0</v>
      </c>
      <c r="T9" s="75"/>
    </row>
    <row r="10" spans="1:24" x14ac:dyDescent="0.25">
      <c r="A10" s="299" t="s">
        <v>36</v>
      </c>
      <c r="B10" s="73" t="s">
        <v>195</v>
      </c>
      <c r="C10" s="35"/>
      <c r="D10" s="35"/>
      <c r="E10" s="35"/>
      <c r="F10" s="35"/>
      <c r="H10" s="79">
        <f t="shared" si="3"/>
        <v>2020</v>
      </c>
      <c r="I10" s="86">
        <f t="shared" si="2"/>
        <v>2.2669171875000282E-2</v>
      </c>
      <c r="J10" s="277">
        <f t="shared" si="4"/>
        <v>3.9899999999999998</v>
      </c>
      <c r="K10" s="277">
        <f t="shared" si="5"/>
        <v>3.7899999999999996</v>
      </c>
      <c r="L10" s="278">
        <f t="shared" si="6"/>
        <v>0</v>
      </c>
      <c r="M10" s="276">
        <f t="shared" ref="M10:M43" si="7">ROUNDUP(J10*$C$23,2)</f>
        <v>3.0799999999999996</v>
      </c>
      <c r="N10" s="277">
        <f t="shared" ref="N10:N43" si="8">ROUNDUP(K10*$C$23,2)</f>
        <v>2.92</v>
      </c>
      <c r="O10" s="278">
        <f t="shared" ref="O10:O43" si="9">ROUNDUP(L10*$C$23,2)</f>
        <v>0</v>
      </c>
      <c r="P10" s="79"/>
      <c r="Q10" s="85"/>
      <c r="R10" s="87"/>
      <c r="S10" s="109">
        <f t="shared" si="1"/>
        <v>0</v>
      </c>
      <c r="T10" s="75"/>
    </row>
    <row r="11" spans="1:24" x14ac:dyDescent="0.25">
      <c r="A11" s="299" t="s">
        <v>37</v>
      </c>
      <c r="B11" s="73" t="s">
        <v>197</v>
      </c>
      <c r="C11" s="35"/>
      <c r="D11" s="35"/>
      <c r="E11" s="35"/>
      <c r="F11" s="35"/>
      <c r="H11" s="79">
        <f t="shared" si="3"/>
        <v>2021</v>
      </c>
      <c r="I11" s="86">
        <f t="shared" si="2"/>
        <v>3.0339190664062876E-2</v>
      </c>
      <c r="J11" s="277">
        <f t="shared" si="4"/>
        <v>4.0199999999999996</v>
      </c>
      <c r="K11" s="277">
        <f t="shared" si="5"/>
        <v>3.82</v>
      </c>
      <c r="L11" s="278">
        <f t="shared" si="6"/>
        <v>0</v>
      </c>
      <c r="M11" s="276">
        <f t="shared" si="7"/>
        <v>3.0999999999999996</v>
      </c>
      <c r="N11" s="277">
        <f t="shared" si="8"/>
        <v>2.9499999999999997</v>
      </c>
      <c r="O11" s="278">
        <f t="shared" si="9"/>
        <v>0</v>
      </c>
      <c r="P11" s="79"/>
      <c r="Q11" s="85"/>
      <c r="R11" s="87"/>
      <c r="S11" s="109">
        <f t="shared" si="1"/>
        <v>0</v>
      </c>
      <c r="T11" s="75"/>
    </row>
    <row r="12" spans="1:24" ht="15" customHeight="1" x14ac:dyDescent="0.25">
      <c r="A12" s="299" t="s">
        <v>38</v>
      </c>
      <c r="B12" s="73" t="s">
        <v>198</v>
      </c>
      <c r="C12" s="35"/>
      <c r="D12" s="35"/>
      <c r="E12" s="35"/>
      <c r="F12" s="35"/>
      <c r="H12" s="79">
        <f t="shared" si="3"/>
        <v>2022</v>
      </c>
      <c r="I12" s="86">
        <f t="shared" si="2"/>
        <v>3.8066734594043306E-2</v>
      </c>
      <c r="J12" s="277">
        <f t="shared" si="4"/>
        <v>4.05</v>
      </c>
      <c r="K12" s="277">
        <f t="shared" si="5"/>
        <v>3.8499999999999996</v>
      </c>
      <c r="L12" s="278">
        <f t="shared" si="6"/>
        <v>0</v>
      </c>
      <c r="M12" s="276">
        <f t="shared" si="7"/>
        <v>3.1199999999999997</v>
      </c>
      <c r="N12" s="277">
        <f t="shared" si="8"/>
        <v>2.9699999999999998</v>
      </c>
      <c r="O12" s="278">
        <f t="shared" si="9"/>
        <v>0</v>
      </c>
      <c r="P12" s="79"/>
      <c r="Q12" s="85"/>
      <c r="R12" s="87"/>
      <c r="S12" s="109">
        <f t="shared" si="1"/>
        <v>0</v>
      </c>
      <c r="T12" s="75"/>
    </row>
    <row r="13" spans="1:24" ht="15.75" thickBot="1" x14ac:dyDescent="0.3">
      <c r="A13" s="35"/>
      <c r="B13" s="35"/>
      <c r="C13" s="35"/>
      <c r="D13" s="35"/>
      <c r="E13" s="35"/>
      <c r="F13" s="35"/>
      <c r="H13" s="79">
        <f t="shared" si="3"/>
        <v>2023</v>
      </c>
      <c r="I13" s="86">
        <f t="shared" si="2"/>
        <v>4.5852235103498895E-2</v>
      </c>
      <c r="J13" s="277">
        <f t="shared" si="4"/>
        <v>4.08</v>
      </c>
      <c r="K13" s="277">
        <f t="shared" si="5"/>
        <v>3.8699999999999997</v>
      </c>
      <c r="L13" s="278">
        <f t="shared" si="6"/>
        <v>0</v>
      </c>
      <c r="M13" s="276">
        <f t="shared" si="7"/>
        <v>3.15</v>
      </c>
      <c r="N13" s="277">
        <f t="shared" si="8"/>
        <v>2.98</v>
      </c>
      <c r="O13" s="278">
        <f t="shared" si="9"/>
        <v>0</v>
      </c>
      <c r="P13" s="79"/>
      <c r="Q13" s="85"/>
      <c r="R13" s="87"/>
      <c r="S13" s="109">
        <f t="shared" si="1"/>
        <v>0</v>
      </c>
      <c r="T13" s="75"/>
    </row>
    <row r="14" spans="1:24" ht="15" customHeight="1" x14ac:dyDescent="0.25">
      <c r="A14" s="577" t="s">
        <v>199</v>
      </c>
      <c r="B14" s="577"/>
      <c r="C14" s="577" t="s">
        <v>11</v>
      </c>
      <c r="D14" s="35"/>
      <c r="E14" s="35"/>
      <c r="F14" s="35"/>
      <c r="H14" s="79">
        <f t="shared" si="3"/>
        <v>2024</v>
      </c>
      <c r="I14" s="86">
        <f t="shared" si="2"/>
        <v>5.3696126866775273E-2</v>
      </c>
      <c r="J14" s="277">
        <f t="shared" si="4"/>
        <v>4.1099999999999994</v>
      </c>
      <c r="K14" s="277">
        <f t="shared" si="5"/>
        <v>3.9</v>
      </c>
      <c r="L14" s="278">
        <f t="shared" si="6"/>
        <v>0</v>
      </c>
      <c r="M14" s="276">
        <f t="shared" si="7"/>
        <v>3.17</v>
      </c>
      <c r="N14" s="277">
        <f t="shared" si="8"/>
        <v>3.01</v>
      </c>
      <c r="O14" s="278">
        <f t="shared" si="9"/>
        <v>0</v>
      </c>
      <c r="P14" s="79"/>
      <c r="Q14" s="85"/>
      <c r="R14" s="87"/>
      <c r="S14" s="109">
        <f t="shared" si="1"/>
        <v>0</v>
      </c>
      <c r="T14" s="75"/>
    </row>
    <row r="15" spans="1:24" ht="15.75" thickBot="1" x14ac:dyDescent="0.3">
      <c r="A15" s="578"/>
      <c r="B15" s="578"/>
      <c r="C15" s="578"/>
      <c r="D15" s="35"/>
      <c r="E15" s="35"/>
      <c r="F15" s="35"/>
      <c r="H15" s="79">
        <f t="shared" si="3"/>
        <v>2025</v>
      </c>
      <c r="I15" s="86">
        <f t="shared" si="2"/>
        <v>6.159884781827607E-2</v>
      </c>
      <c r="J15" s="277">
        <f t="shared" si="4"/>
        <v>4.1499999999999995</v>
      </c>
      <c r="K15" s="277">
        <f t="shared" si="5"/>
        <v>3.9299999999999997</v>
      </c>
      <c r="L15" s="278">
        <f t="shared" si="6"/>
        <v>0</v>
      </c>
      <c r="M15" s="276">
        <f t="shared" si="7"/>
        <v>3.1999999999999997</v>
      </c>
      <c r="N15" s="277">
        <f t="shared" si="8"/>
        <v>3.03</v>
      </c>
      <c r="O15" s="278">
        <f t="shared" si="9"/>
        <v>0</v>
      </c>
      <c r="P15" s="79"/>
      <c r="Q15" s="85"/>
      <c r="R15" s="87"/>
      <c r="S15" s="109">
        <f t="shared" si="1"/>
        <v>0</v>
      </c>
      <c r="T15" s="75"/>
    </row>
    <row r="16" spans="1:24" x14ac:dyDescent="0.25">
      <c r="A16" s="66" t="s">
        <v>31</v>
      </c>
      <c r="B16" s="66">
        <v>76</v>
      </c>
      <c r="C16" s="82">
        <f>B16/10</f>
        <v>7.6</v>
      </c>
      <c r="D16" s="35"/>
      <c r="E16" s="35"/>
      <c r="F16" s="35"/>
      <c r="H16" s="79">
        <f t="shared" si="3"/>
        <v>2026</v>
      </c>
      <c r="I16" s="86">
        <f t="shared" si="2"/>
        <v>6.9560839176913136E-2</v>
      </c>
      <c r="J16" s="277">
        <f t="shared" si="4"/>
        <v>4.18</v>
      </c>
      <c r="K16" s="277">
        <f t="shared" si="5"/>
        <v>3.96</v>
      </c>
      <c r="L16" s="278">
        <f t="shared" si="6"/>
        <v>0</v>
      </c>
      <c r="M16" s="276">
        <f t="shared" si="7"/>
        <v>3.2199999999999998</v>
      </c>
      <c r="N16" s="277">
        <f t="shared" si="8"/>
        <v>3.05</v>
      </c>
      <c r="O16" s="278">
        <f t="shared" si="9"/>
        <v>0</v>
      </c>
      <c r="P16" s="79"/>
      <c r="Q16" s="85"/>
      <c r="R16" s="87"/>
      <c r="S16" s="109">
        <f t="shared" si="1"/>
        <v>0</v>
      </c>
      <c r="T16" s="75"/>
    </row>
    <row r="17" spans="1:20" x14ac:dyDescent="0.25">
      <c r="A17" s="69" t="s">
        <v>6</v>
      </c>
      <c r="B17" s="69">
        <v>39</v>
      </c>
      <c r="C17" s="83">
        <f>B17/10</f>
        <v>3.9</v>
      </c>
      <c r="D17" s="35"/>
      <c r="E17" s="35"/>
      <c r="F17" s="35"/>
      <c r="H17" s="79">
        <f t="shared" si="3"/>
        <v>2027</v>
      </c>
      <c r="I17" s="86">
        <f t="shared" si="2"/>
        <v>7.7582545470740172E-2</v>
      </c>
      <c r="J17" s="277">
        <f t="shared" si="4"/>
        <v>4.21</v>
      </c>
      <c r="K17" s="277">
        <f t="shared" si="5"/>
        <v>3.9899999999999998</v>
      </c>
      <c r="L17" s="278">
        <f t="shared" si="6"/>
        <v>0</v>
      </c>
      <c r="M17" s="276">
        <f t="shared" si="7"/>
        <v>3.25</v>
      </c>
      <c r="N17" s="277">
        <f t="shared" si="8"/>
        <v>3.0799999999999996</v>
      </c>
      <c r="O17" s="278">
        <f t="shared" si="9"/>
        <v>0</v>
      </c>
      <c r="P17" s="276">
        <f t="shared" ref="P17:P22" si="10">ABS(J17-M17)</f>
        <v>0.96</v>
      </c>
      <c r="Q17" s="279">
        <f t="shared" ref="Q17:Q22" si="11">ABS(K17-N17)</f>
        <v>0.91000000000000014</v>
      </c>
      <c r="R17" s="278">
        <f t="shared" ref="R17:R22" si="12">ABS(L17-O17)</f>
        <v>0</v>
      </c>
      <c r="S17" s="109">
        <f t="shared" si="1"/>
        <v>414816.00000000006</v>
      </c>
      <c r="T17" s="75"/>
    </row>
    <row r="18" spans="1:20" x14ac:dyDescent="0.25">
      <c r="A18" s="69" t="s">
        <v>7</v>
      </c>
      <c r="B18" s="69">
        <v>37</v>
      </c>
      <c r="C18" s="83">
        <f>B18/10</f>
        <v>3.7</v>
      </c>
      <c r="D18" s="42"/>
      <c r="E18" s="35"/>
      <c r="F18" s="35"/>
      <c r="H18" s="79">
        <f t="shared" si="3"/>
        <v>2028</v>
      </c>
      <c r="I18" s="86">
        <f t="shared" si="2"/>
        <v>8.5664414561770874E-2</v>
      </c>
      <c r="J18" s="277">
        <f t="shared" si="4"/>
        <v>4.24</v>
      </c>
      <c r="K18" s="277">
        <f t="shared" si="5"/>
        <v>4.0199999999999996</v>
      </c>
      <c r="L18" s="278">
        <f t="shared" si="6"/>
        <v>0</v>
      </c>
      <c r="M18" s="276">
        <f t="shared" si="7"/>
        <v>3.2699999999999996</v>
      </c>
      <c r="N18" s="277">
        <f t="shared" si="8"/>
        <v>3.0999999999999996</v>
      </c>
      <c r="O18" s="278">
        <f t="shared" si="9"/>
        <v>0</v>
      </c>
      <c r="P18" s="276">
        <f t="shared" si="10"/>
        <v>0.97000000000000064</v>
      </c>
      <c r="Q18" s="279">
        <f t="shared" si="11"/>
        <v>0.91999999999999993</v>
      </c>
      <c r="R18" s="278">
        <f t="shared" si="12"/>
        <v>0</v>
      </c>
      <c r="S18" s="109">
        <f t="shared" si="1"/>
        <v>419371.99999999994</v>
      </c>
      <c r="T18" s="75"/>
    </row>
    <row r="19" spans="1:20" ht="15.75" thickBot="1" x14ac:dyDescent="0.3">
      <c r="A19" s="71" t="s">
        <v>9</v>
      </c>
      <c r="B19" s="71">
        <v>0</v>
      </c>
      <c r="C19" s="84">
        <f>B19/10</f>
        <v>0</v>
      </c>
      <c r="D19" s="42"/>
      <c r="E19" s="35"/>
      <c r="F19" s="35"/>
      <c r="H19" s="79">
        <f t="shared" si="3"/>
        <v>2029</v>
      </c>
      <c r="I19" s="86">
        <f t="shared" si="2"/>
        <v>9.3806897670984268E-2</v>
      </c>
      <c r="J19" s="277">
        <f t="shared" si="4"/>
        <v>4.2699999999999996</v>
      </c>
      <c r="K19" s="277">
        <f t="shared" si="5"/>
        <v>4.05</v>
      </c>
      <c r="L19" s="278">
        <f t="shared" si="6"/>
        <v>0</v>
      </c>
      <c r="M19" s="276">
        <f t="shared" si="7"/>
        <v>3.2899999999999996</v>
      </c>
      <c r="N19" s="277">
        <f t="shared" si="8"/>
        <v>3.1199999999999997</v>
      </c>
      <c r="O19" s="278">
        <f t="shared" si="9"/>
        <v>0</v>
      </c>
      <c r="P19" s="276">
        <f t="shared" si="10"/>
        <v>0.98</v>
      </c>
      <c r="Q19" s="279">
        <f t="shared" si="11"/>
        <v>0.93000000000000016</v>
      </c>
      <c r="R19" s="278">
        <f t="shared" si="12"/>
        <v>0</v>
      </c>
      <c r="S19" s="109">
        <f t="shared" si="1"/>
        <v>423928.00000000006</v>
      </c>
      <c r="T19" s="75"/>
    </row>
    <row r="20" spans="1:20" x14ac:dyDescent="0.25">
      <c r="A20" s="299" t="s">
        <v>200</v>
      </c>
      <c r="B20" s="271" t="s">
        <v>33</v>
      </c>
      <c r="C20" s="271"/>
      <c r="D20" s="42"/>
      <c r="E20" s="35"/>
      <c r="F20" s="35"/>
      <c r="H20" s="79">
        <f t="shared" si="3"/>
        <v>2030</v>
      </c>
      <c r="I20" s="86">
        <f t="shared" si="2"/>
        <v>0.10201044940351656</v>
      </c>
      <c r="J20" s="277">
        <f t="shared" si="4"/>
        <v>4.3</v>
      </c>
      <c r="K20" s="277">
        <f t="shared" si="5"/>
        <v>4.08</v>
      </c>
      <c r="L20" s="278">
        <f t="shared" si="6"/>
        <v>0</v>
      </c>
      <c r="M20" s="276">
        <f t="shared" si="7"/>
        <v>3.32</v>
      </c>
      <c r="N20" s="277">
        <f t="shared" si="8"/>
        <v>3.15</v>
      </c>
      <c r="O20" s="278">
        <f t="shared" si="9"/>
        <v>0</v>
      </c>
      <c r="P20" s="276">
        <f t="shared" si="10"/>
        <v>0.98</v>
      </c>
      <c r="Q20" s="279">
        <f t="shared" si="11"/>
        <v>0.93000000000000016</v>
      </c>
      <c r="R20" s="278">
        <f t="shared" si="12"/>
        <v>0</v>
      </c>
      <c r="S20" s="109">
        <f t="shared" si="1"/>
        <v>423928.00000000006</v>
      </c>
      <c r="T20" s="75"/>
    </row>
    <row r="21" spans="1:20" ht="15.75" thickBot="1" x14ac:dyDescent="0.3">
      <c r="A21" s="42"/>
      <c r="B21" s="42"/>
      <c r="C21" s="42"/>
      <c r="D21" s="42"/>
      <c r="E21" s="35"/>
      <c r="F21" s="35"/>
      <c r="H21" s="79">
        <f t="shared" si="3"/>
        <v>2031</v>
      </c>
      <c r="I21" s="86">
        <f t="shared" si="2"/>
        <v>0.11027552777404326</v>
      </c>
      <c r="J21" s="277">
        <f t="shared" si="4"/>
        <v>4.34</v>
      </c>
      <c r="K21" s="277">
        <f t="shared" si="5"/>
        <v>4.1099999999999994</v>
      </c>
      <c r="L21" s="278">
        <f t="shared" si="6"/>
        <v>0</v>
      </c>
      <c r="M21" s="276">
        <f t="shared" si="7"/>
        <v>3.3499999999999996</v>
      </c>
      <c r="N21" s="277">
        <f t="shared" si="8"/>
        <v>3.17</v>
      </c>
      <c r="O21" s="278">
        <f t="shared" si="9"/>
        <v>0</v>
      </c>
      <c r="P21" s="276">
        <f t="shared" si="10"/>
        <v>0.99000000000000021</v>
      </c>
      <c r="Q21" s="279">
        <f t="shared" si="11"/>
        <v>0.9399999999999995</v>
      </c>
      <c r="R21" s="278">
        <f t="shared" si="12"/>
        <v>0</v>
      </c>
      <c r="S21" s="109">
        <f t="shared" si="1"/>
        <v>428483.99999999977</v>
      </c>
      <c r="T21" s="75"/>
    </row>
    <row r="22" spans="1:20" ht="18" thickBot="1" x14ac:dyDescent="0.3">
      <c r="A22" s="549" t="s">
        <v>201</v>
      </c>
      <c r="B22" s="550"/>
      <c r="C22" s="557"/>
      <c r="D22" s="35"/>
      <c r="E22" s="35"/>
      <c r="F22" s="35"/>
      <c r="H22" s="79">
        <f t="shared" si="3"/>
        <v>2032</v>
      </c>
      <c r="I22" s="86">
        <f t="shared" si="2"/>
        <v>0.11860259423234876</v>
      </c>
      <c r="J22" s="277">
        <f t="shared" si="4"/>
        <v>4.37</v>
      </c>
      <c r="K22" s="277">
        <f t="shared" si="5"/>
        <v>4.1399999999999997</v>
      </c>
      <c r="L22" s="278">
        <f t="shared" si="6"/>
        <v>0</v>
      </c>
      <c r="M22" s="276">
        <f t="shared" si="7"/>
        <v>3.3699999999999997</v>
      </c>
      <c r="N22" s="277">
        <f t="shared" si="8"/>
        <v>3.19</v>
      </c>
      <c r="O22" s="278">
        <f t="shared" si="9"/>
        <v>0</v>
      </c>
      <c r="P22" s="276">
        <f t="shared" si="10"/>
        <v>1.0000000000000004</v>
      </c>
      <c r="Q22" s="279">
        <f t="shared" si="11"/>
        <v>0.94999999999999973</v>
      </c>
      <c r="R22" s="278">
        <f t="shared" si="12"/>
        <v>0</v>
      </c>
      <c r="S22" s="109">
        <f t="shared" si="1"/>
        <v>433039.99999999988</v>
      </c>
      <c r="T22" s="75"/>
    </row>
    <row r="23" spans="1:20" ht="15.75" thickBot="1" x14ac:dyDescent="0.3">
      <c r="A23" s="549" t="s">
        <v>35</v>
      </c>
      <c r="B23" s="550"/>
      <c r="C23" s="118">
        <v>0.77</v>
      </c>
      <c r="D23" s="35"/>
      <c r="E23" s="35"/>
      <c r="F23" s="35"/>
      <c r="H23" s="79">
        <f t="shared" si="3"/>
        <v>2033</v>
      </c>
      <c r="I23" s="86">
        <f t="shared" si="2"/>
        <v>0.12699211368909125</v>
      </c>
      <c r="J23" s="277">
        <f t="shared" si="4"/>
        <v>4.3999999999999995</v>
      </c>
      <c r="K23" s="277">
        <f t="shared" si="5"/>
        <v>4.17</v>
      </c>
      <c r="L23" s="278">
        <f t="shared" si="6"/>
        <v>0</v>
      </c>
      <c r="M23" s="276">
        <f t="shared" si="7"/>
        <v>3.3899999999999997</v>
      </c>
      <c r="N23" s="277">
        <f t="shared" si="8"/>
        <v>3.2199999999999998</v>
      </c>
      <c r="O23" s="278">
        <f t="shared" si="9"/>
        <v>0</v>
      </c>
      <c r="P23" s="276">
        <f>ABS(J23-M23)</f>
        <v>1.0099999999999998</v>
      </c>
      <c r="Q23" s="279">
        <f>ABS(K23-N23)</f>
        <v>0.95000000000000018</v>
      </c>
      <c r="R23" s="278">
        <f>ABS(L23-O23)</f>
        <v>0</v>
      </c>
      <c r="S23" s="109">
        <f t="shared" si="1"/>
        <v>433084.00000000006</v>
      </c>
      <c r="T23" s="75"/>
    </row>
    <row r="24" spans="1:20" ht="15" customHeight="1" x14ac:dyDescent="0.25">
      <c r="A24" s="35"/>
      <c r="B24" s="35"/>
      <c r="C24" s="35"/>
      <c r="D24" s="35"/>
      <c r="E24" s="35"/>
      <c r="F24" s="35"/>
      <c r="H24" s="79">
        <f t="shared" si="3"/>
        <v>2034</v>
      </c>
      <c r="I24" s="86">
        <f t="shared" si="2"/>
        <v>0.13544455454175952</v>
      </c>
      <c r="J24" s="277">
        <f t="shared" si="4"/>
        <v>4.43</v>
      </c>
      <c r="K24" s="277">
        <f t="shared" si="5"/>
        <v>4.21</v>
      </c>
      <c r="L24" s="278">
        <f t="shared" si="6"/>
        <v>0</v>
      </c>
      <c r="M24" s="276">
        <f t="shared" si="7"/>
        <v>3.42</v>
      </c>
      <c r="N24" s="277">
        <f t="shared" si="8"/>
        <v>3.25</v>
      </c>
      <c r="O24" s="278">
        <f t="shared" si="9"/>
        <v>0</v>
      </c>
      <c r="P24" s="276">
        <f t="shared" ref="P24:R43" si="13">ABS(J24-M24)</f>
        <v>1.0099999999999998</v>
      </c>
      <c r="Q24" s="279">
        <f t="shared" si="13"/>
        <v>0.96</v>
      </c>
      <c r="R24" s="278">
        <f t="shared" si="13"/>
        <v>0</v>
      </c>
      <c r="S24" s="109">
        <f t="shared" si="1"/>
        <v>437596</v>
      </c>
      <c r="T24" s="75"/>
    </row>
    <row r="25" spans="1:20" ht="15" customHeight="1" x14ac:dyDescent="0.25">
      <c r="A25" s="551" t="s">
        <v>220</v>
      </c>
      <c r="B25" s="551"/>
      <c r="C25" s="551"/>
      <c r="D25" s="551"/>
      <c r="E25" s="551"/>
      <c r="F25" s="551"/>
      <c r="H25" s="79">
        <f t="shared" si="3"/>
        <v>2035</v>
      </c>
      <c r="I25" s="86">
        <f t="shared" si="2"/>
        <v>0.14396038870082295</v>
      </c>
      <c r="J25" s="277">
        <f t="shared" si="4"/>
        <v>4.47</v>
      </c>
      <c r="K25" s="277">
        <f t="shared" si="5"/>
        <v>4.24</v>
      </c>
      <c r="L25" s="278">
        <f t="shared" si="6"/>
        <v>0</v>
      </c>
      <c r="M25" s="276">
        <f t="shared" si="7"/>
        <v>3.4499999999999997</v>
      </c>
      <c r="N25" s="277">
        <f t="shared" si="8"/>
        <v>3.2699999999999996</v>
      </c>
      <c r="O25" s="278">
        <f t="shared" si="9"/>
        <v>0</v>
      </c>
      <c r="P25" s="276">
        <f t="shared" si="13"/>
        <v>1.02</v>
      </c>
      <c r="Q25" s="279">
        <f t="shared" si="13"/>
        <v>0.97000000000000064</v>
      </c>
      <c r="R25" s="278">
        <f t="shared" si="13"/>
        <v>0</v>
      </c>
      <c r="S25" s="109">
        <f t="shared" si="1"/>
        <v>442152.00000000029</v>
      </c>
      <c r="T25" s="75"/>
    </row>
    <row r="26" spans="1:20" x14ac:dyDescent="0.25">
      <c r="E26" s="35"/>
      <c r="F26" s="35"/>
      <c r="H26" s="79">
        <f t="shared" si="3"/>
        <v>2036</v>
      </c>
      <c r="I26" s="86">
        <f t="shared" si="2"/>
        <v>0.15254009161607907</v>
      </c>
      <c r="J26" s="277">
        <f t="shared" si="4"/>
        <v>4.5</v>
      </c>
      <c r="K26" s="277">
        <f t="shared" si="5"/>
        <v>4.2699999999999996</v>
      </c>
      <c r="L26" s="278">
        <f t="shared" si="6"/>
        <v>0</v>
      </c>
      <c r="M26" s="276">
        <f t="shared" si="7"/>
        <v>3.4699999999999998</v>
      </c>
      <c r="N26" s="277">
        <f t="shared" si="8"/>
        <v>3.2899999999999996</v>
      </c>
      <c r="O26" s="278">
        <f t="shared" si="9"/>
        <v>0</v>
      </c>
      <c r="P26" s="276">
        <f t="shared" si="13"/>
        <v>1.0300000000000002</v>
      </c>
      <c r="Q26" s="279">
        <f t="shared" si="13"/>
        <v>0.98</v>
      </c>
      <c r="R26" s="278">
        <f t="shared" si="13"/>
        <v>0</v>
      </c>
      <c r="S26" s="109">
        <f t="shared" si="1"/>
        <v>446708</v>
      </c>
      <c r="T26" s="75"/>
    </row>
    <row r="27" spans="1:20" x14ac:dyDescent="0.25">
      <c r="E27" s="35"/>
      <c r="F27" s="35"/>
      <c r="H27" s="79">
        <f t="shared" si="3"/>
        <v>2037</v>
      </c>
      <c r="I27" s="86">
        <f t="shared" si="2"/>
        <v>0.16118414230319988</v>
      </c>
      <c r="J27" s="277">
        <f t="shared" si="4"/>
        <v>4.5299999999999994</v>
      </c>
      <c r="K27" s="277">
        <f t="shared" si="5"/>
        <v>4.3</v>
      </c>
      <c r="L27" s="278">
        <f t="shared" si="6"/>
        <v>0</v>
      </c>
      <c r="M27" s="276">
        <f t="shared" si="7"/>
        <v>3.4899999999999998</v>
      </c>
      <c r="N27" s="277">
        <f t="shared" si="8"/>
        <v>3.32</v>
      </c>
      <c r="O27" s="278">
        <f t="shared" si="9"/>
        <v>0</v>
      </c>
      <c r="P27" s="276">
        <f t="shared" si="13"/>
        <v>1.0399999999999996</v>
      </c>
      <c r="Q27" s="279">
        <f t="shared" si="13"/>
        <v>0.98</v>
      </c>
      <c r="R27" s="278">
        <f t="shared" si="13"/>
        <v>0</v>
      </c>
      <c r="S27" s="109">
        <f t="shared" si="1"/>
        <v>446752</v>
      </c>
      <c r="T27" s="75"/>
    </row>
    <row r="28" spans="1:20" x14ac:dyDescent="0.25">
      <c r="D28" s="35"/>
      <c r="E28" s="35"/>
      <c r="F28" s="35"/>
      <c r="H28" s="79">
        <f t="shared" si="3"/>
        <v>2038</v>
      </c>
      <c r="I28" s="86">
        <f t="shared" si="2"/>
        <v>0.16989302337047385</v>
      </c>
      <c r="J28" s="277">
        <f t="shared" si="4"/>
        <v>4.5699999999999994</v>
      </c>
      <c r="K28" s="277">
        <f t="shared" si="5"/>
        <v>4.33</v>
      </c>
      <c r="L28" s="278">
        <f t="shared" si="6"/>
        <v>0</v>
      </c>
      <c r="M28" s="276">
        <f t="shared" si="7"/>
        <v>3.5199999999999996</v>
      </c>
      <c r="N28" s="277">
        <f t="shared" si="8"/>
        <v>3.34</v>
      </c>
      <c r="O28" s="278">
        <f t="shared" si="9"/>
        <v>0</v>
      </c>
      <c r="P28" s="276">
        <f t="shared" si="13"/>
        <v>1.0499999999999998</v>
      </c>
      <c r="Q28" s="279">
        <f t="shared" si="13"/>
        <v>0.99000000000000021</v>
      </c>
      <c r="R28" s="278">
        <f t="shared" si="13"/>
        <v>0</v>
      </c>
      <c r="S28" s="109">
        <f t="shared" si="1"/>
        <v>451308.00000000012</v>
      </c>
      <c r="T28" s="75"/>
    </row>
    <row r="29" spans="1:20" x14ac:dyDescent="0.25">
      <c r="D29" s="35"/>
      <c r="E29" s="35"/>
      <c r="F29" s="35"/>
      <c r="H29" s="79">
        <f t="shared" si="3"/>
        <v>2039</v>
      </c>
      <c r="I29" s="86">
        <f t="shared" si="2"/>
        <v>0.17866722104575272</v>
      </c>
      <c r="J29" s="277">
        <f t="shared" si="4"/>
        <v>4.5999999999999996</v>
      </c>
      <c r="K29" s="277">
        <f t="shared" si="5"/>
        <v>4.37</v>
      </c>
      <c r="L29" s="278">
        <f t="shared" si="6"/>
        <v>0</v>
      </c>
      <c r="M29" s="276">
        <f t="shared" si="7"/>
        <v>3.55</v>
      </c>
      <c r="N29" s="277">
        <f t="shared" si="8"/>
        <v>3.3699999999999997</v>
      </c>
      <c r="O29" s="278">
        <f t="shared" si="9"/>
        <v>0</v>
      </c>
      <c r="P29" s="276">
        <f t="shared" si="13"/>
        <v>1.0499999999999998</v>
      </c>
      <c r="Q29" s="279">
        <f t="shared" si="13"/>
        <v>1.0000000000000004</v>
      </c>
      <c r="R29" s="278">
        <f t="shared" si="13"/>
        <v>0</v>
      </c>
      <c r="S29" s="109">
        <f t="shared" si="1"/>
        <v>455820.00000000017</v>
      </c>
      <c r="T29" s="75"/>
    </row>
    <row r="30" spans="1:20" x14ac:dyDescent="0.25">
      <c r="D30" s="35"/>
      <c r="E30" s="35"/>
      <c r="F30" s="35"/>
      <c r="H30" s="79">
        <f t="shared" si="3"/>
        <v>2040</v>
      </c>
      <c r="I30" s="86">
        <f t="shared" si="2"/>
        <v>0.18750722520359586</v>
      </c>
      <c r="J30" s="277">
        <f t="shared" si="4"/>
        <v>4.6399999999999997</v>
      </c>
      <c r="K30" s="277">
        <f t="shared" si="5"/>
        <v>4.3999999999999995</v>
      </c>
      <c r="L30" s="278">
        <f t="shared" si="6"/>
        <v>0</v>
      </c>
      <c r="M30" s="276">
        <f t="shared" si="7"/>
        <v>3.5799999999999996</v>
      </c>
      <c r="N30" s="277">
        <f t="shared" si="8"/>
        <v>3.3899999999999997</v>
      </c>
      <c r="O30" s="278">
        <f t="shared" si="9"/>
        <v>0</v>
      </c>
      <c r="P30" s="276">
        <f t="shared" si="13"/>
        <v>1.06</v>
      </c>
      <c r="Q30" s="279">
        <f t="shared" si="13"/>
        <v>1.0099999999999998</v>
      </c>
      <c r="R30" s="278">
        <f t="shared" si="13"/>
        <v>0</v>
      </c>
      <c r="S30" s="109">
        <f t="shared" si="1"/>
        <v>460375.99999999988</v>
      </c>
      <c r="T30" s="75"/>
    </row>
    <row r="31" spans="1:20" ht="15" customHeight="1" x14ac:dyDescent="0.25">
      <c r="D31" s="35"/>
      <c r="E31" s="35"/>
      <c r="F31" s="35"/>
      <c r="G31" s="35"/>
      <c r="H31" s="79">
        <f t="shared" si="3"/>
        <v>2041</v>
      </c>
      <c r="I31" s="86">
        <f t="shared" si="2"/>
        <v>0.1964135293926228</v>
      </c>
      <c r="J31" s="277">
        <f t="shared" si="4"/>
        <v>4.67</v>
      </c>
      <c r="K31" s="277">
        <f t="shared" si="5"/>
        <v>4.43</v>
      </c>
      <c r="L31" s="278">
        <f t="shared" si="6"/>
        <v>0</v>
      </c>
      <c r="M31" s="276">
        <f t="shared" si="7"/>
        <v>3.5999999999999996</v>
      </c>
      <c r="N31" s="277">
        <f t="shared" si="8"/>
        <v>3.42</v>
      </c>
      <c r="O31" s="278">
        <f t="shared" si="9"/>
        <v>0</v>
      </c>
      <c r="P31" s="276">
        <f t="shared" si="13"/>
        <v>1.0700000000000003</v>
      </c>
      <c r="Q31" s="279">
        <f t="shared" si="13"/>
        <v>1.0099999999999998</v>
      </c>
      <c r="R31" s="278">
        <f t="shared" si="13"/>
        <v>0</v>
      </c>
      <c r="S31" s="109">
        <f t="shared" si="1"/>
        <v>460419.99999999988</v>
      </c>
      <c r="T31" s="75"/>
    </row>
    <row r="32" spans="1:20" x14ac:dyDescent="0.25">
      <c r="F32" s="35"/>
      <c r="G32" s="35"/>
      <c r="H32" s="79">
        <f t="shared" si="3"/>
        <v>2042</v>
      </c>
      <c r="I32" s="86">
        <f t="shared" si="2"/>
        <v>0.20538663086306763</v>
      </c>
      <c r="J32" s="277">
        <f t="shared" si="4"/>
        <v>4.71</v>
      </c>
      <c r="K32" s="277">
        <f t="shared" si="5"/>
        <v>4.46</v>
      </c>
      <c r="L32" s="278">
        <f t="shared" si="6"/>
        <v>0</v>
      </c>
      <c r="M32" s="276">
        <f t="shared" si="7"/>
        <v>3.63</v>
      </c>
      <c r="N32" s="277">
        <f t="shared" si="8"/>
        <v>3.44</v>
      </c>
      <c r="O32" s="278">
        <f t="shared" si="9"/>
        <v>0</v>
      </c>
      <c r="P32" s="276">
        <f t="shared" si="13"/>
        <v>1.08</v>
      </c>
      <c r="Q32" s="279">
        <f t="shared" si="13"/>
        <v>1.02</v>
      </c>
      <c r="R32" s="278">
        <f t="shared" si="13"/>
        <v>0</v>
      </c>
      <c r="S32" s="109">
        <f t="shared" si="1"/>
        <v>464976</v>
      </c>
      <c r="T32" s="75"/>
    </row>
    <row r="33" spans="1:26" x14ac:dyDescent="0.25">
      <c r="F33" s="35"/>
      <c r="G33" s="35"/>
      <c r="H33" s="79">
        <f t="shared" si="3"/>
        <v>2043</v>
      </c>
      <c r="I33" s="86">
        <f t="shared" si="2"/>
        <v>0.21442703059454082</v>
      </c>
      <c r="J33" s="277">
        <f t="shared" si="4"/>
        <v>4.74</v>
      </c>
      <c r="K33" s="277">
        <f t="shared" si="5"/>
        <v>4.5</v>
      </c>
      <c r="L33" s="278">
        <f t="shared" si="6"/>
        <v>0</v>
      </c>
      <c r="M33" s="276">
        <f t="shared" si="7"/>
        <v>3.65</v>
      </c>
      <c r="N33" s="277">
        <f t="shared" si="8"/>
        <v>3.4699999999999998</v>
      </c>
      <c r="O33" s="278">
        <f t="shared" si="9"/>
        <v>0</v>
      </c>
      <c r="P33" s="276">
        <f t="shared" si="13"/>
        <v>1.0900000000000003</v>
      </c>
      <c r="Q33" s="279">
        <f t="shared" si="13"/>
        <v>1.0300000000000002</v>
      </c>
      <c r="R33" s="278">
        <f t="shared" si="13"/>
        <v>0</v>
      </c>
      <c r="S33" s="109">
        <f t="shared" si="1"/>
        <v>469532.00000000012</v>
      </c>
      <c r="T33" s="75"/>
    </row>
    <row r="34" spans="1:26" x14ac:dyDescent="0.25">
      <c r="F34" s="35"/>
      <c r="G34" s="35"/>
      <c r="H34" s="79">
        <f t="shared" si="3"/>
        <v>2044</v>
      </c>
      <c r="I34" s="86">
        <f t="shared" si="2"/>
        <v>0.22353523332399994</v>
      </c>
      <c r="J34" s="277">
        <f t="shared" si="4"/>
        <v>4.7799999999999994</v>
      </c>
      <c r="K34" s="277">
        <f t="shared" si="5"/>
        <v>4.5299999999999994</v>
      </c>
      <c r="L34" s="278">
        <f t="shared" si="6"/>
        <v>0</v>
      </c>
      <c r="M34" s="276">
        <f t="shared" si="7"/>
        <v>3.69</v>
      </c>
      <c r="N34" s="277">
        <f t="shared" si="8"/>
        <v>3.4899999999999998</v>
      </c>
      <c r="O34" s="278">
        <f t="shared" si="9"/>
        <v>0</v>
      </c>
      <c r="P34" s="276">
        <f t="shared" si="13"/>
        <v>1.0899999999999994</v>
      </c>
      <c r="Q34" s="279">
        <f t="shared" si="13"/>
        <v>1.0399999999999996</v>
      </c>
      <c r="R34" s="278">
        <f t="shared" si="13"/>
        <v>0</v>
      </c>
      <c r="S34" s="109">
        <f t="shared" si="1"/>
        <v>474043.99999999983</v>
      </c>
      <c r="T34" s="75"/>
    </row>
    <row r="35" spans="1:26" x14ac:dyDescent="0.25">
      <c r="F35" s="35"/>
      <c r="G35" s="35"/>
      <c r="H35" s="79">
        <f t="shared" si="3"/>
        <v>2045</v>
      </c>
      <c r="I35" s="86">
        <f t="shared" si="2"/>
        <v>0.23271174757393021</v>
      </c>
      <c r="J35" s="277">
        <f t="shared" si="4"/>
        <v>4.8099999999999996</v>
      </c>
      <c r="K35" s="277">
        <f t="shared" si="5"/>
        <v>4.5699999999999994</v>
      </c>
      <c r="L35" s="278">
        <f t="shared" si="6"/>
        <v>0</v>
      </c>
      <c r="M35" s="276">
        <f t="shared" si="7"/>
        <v>3.71</v>
      </c>
      <c r="N35" s="277">
        <f t="shared" si="8"/>
        <v>3.5199999999999996</v>
      </c>
      <c r="O35" s="278">
        <f t="shared" si="9"/>
        <v>0</v>
      </c>
      <c r="P35" s="276">
        <f t="shared" si="13"/>
        <v>1.0999999999999996</v>
      </c>
      <c r="Q35" s="279">
        <f t="shared" si="13"/>
        <v>1.0499999999999998</v>
      </c>
      <c r="R35" s="278">
        <f t="shared" si="13"/>
        <v>0</v>
      </c>
      <c r="S35" s="109">
        <f t="shared" si="1"/>
        <v>478599.99999999994</v>
      </c>
      <c r="T35" s="75"/>
    </row>
    <row r="36" spans="1:26" ht="15" customHeight="1" x14ac:dyDescent="0.25">
      <c r="F36" s="35"/>
      <c r="G36" s="35"/>
      <c r="H36" s="79">
        <f t="shared" si="3"/>
        <v>2046</v>
      </c>
      <c r="I36" s="86">
        <f t="shared" si="2"/>
        <v>0.24195708568073448</v>
      </c>
      <c r="J36" s="277">
        <f t="shared" si="4"/>
        <v>4.8499999999999996</v>
      </c>
      <c r="K36" s="277">
        <f t="shared" si="5"/>
        <v>4.5999999999999996</v>
      </c>
      <c r="L36" s="278">
        <f t="shared" si="6"/>
        <v>0</v>
      </c>
      <c r="M36" s="276">
        <f t="shared" si="7"/>
        <v>3.7399999999999998</v>
      </c>
      <c r="N36" s="277">
        <f t="shared" si="8"/>
        <v>3.55</v>
      </c>
      <c r="O36" s="278">
        <f t="shared" si="9"/>
        <v>0</v>
      </c>
      <c r="P36" s="276">
        <f t="shared" si="13"/>
        <v>1.1099999999999999</v>
      </c>
      <c r="Q36" s="279">
        <f t="shared" si="13"/>
        <v>1.0499999999999998</v>
      </c>
      <c r="R36" s="278">
        <f t="shared" si="13"/>
        <v>0</v>
      </c>
      <c r="S36" s="109">
        <f t="shared" si="1"/>
        <v>478643.99999999994</v>
      </c>
      <c r="T36" s="75"/>
    </row>
    <row r="37" spans="1:26" x14ac:dyDescent="0.25">
      <c r="F37" s="35"/>
      <c r="G37" s="35"/>
      <c r="H37" s="79">
        <f t="shared" si="3"/>
        <v>2047</v>
      </c>
      <c r="I37" s="86">
        <f t="shared" si="2"/>
        <v>0.25127176382334038</v>
      </c>
      <c r="J37" s="277">
        <f t="shared" si="4"/>
        <v>4.88</v>
      </c>
      <c r="K37" s="277">
        <f t="shared" si="5"/>
        <v>4.63</v>
      </c>
      <c r="L37" s="278">
        <f t="shared" si="6"/>
        <v>0</v>
      </c>
      <c r="M37" s="276">
        <f t="shared" si="7"/>
        <v>3.76</v>
      </c>
      <c r="N37" s="277">
        <f t="shared" si="8"/>
        <v>3.57</v>
      </c>
      <c r="O37" s="278">
        <f t="shared" si="9"/>
        <v>0</v>
      </c>
      <c r="P37" s="276">
        <f t="shared" si="13"/>
        <v>1.1200000000000001</v>
      </c>
      <c r="Q37" s="279">
        <f t="shared" si="13"/>
        <v>1.06</v>
      </c>
      <c r="R37" s="278">
        <f t="shared" si="13"/>
        <v>0</v>
      </c>
      <c r="S37" s="112">
        <f t="shared" si="1"/>
        <v>483200</v>
      </c>
      <c r="T37" s="75"/>
    </row>
    <row r="38" spans="1:26" x14ac:dyDescent="0.25">
      <c r="F38" s="35"/>
      <c r="G38" s="35"/>
      <c r="H38" s="79">
        <f t="shared" si="3"/>
        <v>2048</v>
      </c>
      <c r="I38" s="86">
        <f t="shared" si="2"/>
        <v>0.26065630205201562</v>
      </c>
      <c r="J38" s="277">
        <f t="shared" si="4"/>
        <v>4.92</v>
      </c>
      <c r="K38" s="277">
        <f t="shared" si="5"/>
        <v>4.67</v>
      </c>
      <c r="L38" s="278">
        <f t="shared" si="6"/>
        <v>0</v>
      </c>
      <c r="M38" s="276">
        <f t="shared" si="7"/>
        <v>3.7899999999999996</v>
      </c>
      <c r="N38" s="277">
        <f t="shared" si="8"/>
        <v>3.5999999999999996</v>
      </c>
      <c r="O38" s="278">
        <f t="shared" si="9"/>
        <v>0</v>
      </c>
      <c r="P38" s="276">
        <f t="shared" si="13"/>
        <v>1.1300000000000003</v>
      </c>
      <c r="Q38" s="279">
        <f t="shared" si="13"/>
        <v>1.0700000000000003</v>
      </c>
      <c r="R38" s="278">
        <f t="shared" si="13"/>
        <v>0</v>
      </c>
      <c r="S38" s="113">
        <f t="shared" si="1"/>
        <v>487756.00000000012</v>
      </c>
      <c r="T38" s="75"/>
    </row>
    <row r="39" spans="1:26" x14ac:dyDescent="0.25">
      <c r="A39" s="44"/>
      <c r="B39" s="44"/>
      <c r="C39" s="44"/>
      <c r="F39" s="35"/>
      <c r="G39" s="35"/>
      <c r="H39" s="79">
        <f t="shared" si="3"/>
        <v>2049</v>
      </c>
      <c r="I39" s="86">
        <f t="shared" si="2"/>
        <v>0.27011122431740553</v>
      </c>
      <c r="J39" s="277">
        <f t="shared" si="4"/>
        <v>4.96</v>
      </c>
      <c r="K39" s="277">
        <f t="shared" si="5"/>
        <v>4.7</v>
      </c>
      <c r="L39" s="278">
        <f t="shared" si="6"/>
        <v>0</v>
      </c>
      <c r="M39" s="276">
        <f t="shared" si="7"/>
        <v>3.82</v>
      </c>
      <c r="N39" s="277">
        <f t="shared" si="8"/>
        <v>3.6199999999999997</v>
      </c>
      <c r="O39" s="278">
        <f t="shared" si="9"/>
        <v>0</v>
      </c>
      <c r="P39" s="276">
        <f t="shared" si="13"/>
        <v>1.1400000000000001</v>
      </c>
      <c r="Q39" s="279">
        <f t="shared" si="13"/>
        <v>1.0800000000000005</v>
      </c>
      <c r="R39" s="278">
        <f t="shared" si="13"/>
        <v>0</v>
      </c>
      <c r="S39" s="109">
        <f t="shared" si="1"/>
        <v>492312.00000000023</v>
      </c>
      <c r="T39" s="75"/>
    </row>
    <row r="40" spans="1:26" x14ac:dyDescent="0.25">
      <c r="A40" s="126"/>
      <c r="B40" s="126"/>
      <c r="C40" s="126"/>
      <c r="F40" s="35"/>
      <c r="G40" s="35"/>
      <c r="H40" s="79">
        <f t="shared" si="3"/>
        <v>2050</v>
      </c>
      <c r="I40" s="86">
        <f t="shared" si="2"/>
        <v>0.27963705849978604</v>
      </c>
      <c r="J40" s="277">
        <f t="shared" si="4"/>
        <v>5</v>
      </c>
      <c r="K40" s="277">
        <f t="shared" si="5"/>
        <v>4.74</v>
      </c>
      <c r="L40" s="278">
        <f t="shared" si="6"/>
        <v>0</v>
      </c>
      <c r="M40" s="276">
        <f t="shared" si="7"/>
        <v>3.85</v>
      </c>
      <c r="N40" s="277">
        <f t="shared" si="8"/>
        <v>3.65</v>
      </c>
      <c r="O40" s="278">
        <f t="shared" si="9"/>
        <v>0</v>
      </c>
      <c r="P40" s="276">
        <f t="shared" si="13"/>
        <v>1.1499999999999999</v>
      </c>
      <c r="Q40" s="279">
        <f t="shared" si="13"/>
        <v>1.0900000000000003</v>
      </c>
      <c r="R40" s="278">
        <f t="shared" si="13"/>
        <v>0</v>
      </c>
      <c r="S40" s="109">
        <f t="shared" si="1"/>
        <v>496868.00000000012</v>
      </c>
      <c r="T40" s="75"/>
    </row>
    <row r="41" spans="1:26" ht="15.75" customHeight="1" x14ac:dyDescent="0.35">
      <c r="A41" s="35" t="s">
        <v>111</v>
      </c>
      <c r="B41" s="13"/>
      <c r="C41" s="13"/>
      <c r="F41" s="35"/>
      <c r="G41" s="35"/>
      <c r="H41" s="79">
        <f t="shared" si="3"/>
        <v>2051</v>
      </c>
      <c r="I41" s="86">
        <f t="shared" si="2"/>
        <v>0.2892343364385348</v>
      </c>
      <c r="J41" s="277">
        <f t="shared" si="4"/>
        <v>5.0299999999999994</v>
      </c>
      <c r="K41" s="277">
        <f t="shared" si="5"/>
        <v>4.7799999999999994</v>
      </c>
      <c r="L41" s="278">
        <f t="shared" si="6"/>
        <v>0</v>
      </c>
      <c r="M41" s="276">
        <f t="shared" si="7"/>
        <v>3.88</v>
      </c>
      <c r="N41" s="277">
        <f t="shared" si="8"/>
        <v>3.69</v>
      </c>
      <c r="O41" s="278">
        <f t="shared" si="9"/>
        <v>0</v>
      </c>
      <c r="P41" s="276">
        <f t="shared" si="13"/>
        <v>1.1499999999999995</v>
      </c>
      <c r="Q41" s="279">
        <f t="shared" si="13"/>
        <v>1.0899999999999994</v>
      </c>
      <c r="R41" s="278">
        <f t="shared" si="13"/>
        <v>0</v>
      </c>
      <c r="S41" s="109">
        <f t="shared" si="1"/>
        <v>496867.99999999971</v>
      </c>
      <c r="T41" s="94"/>
      <c r="U41" s="94"/>
      <c r="V41" s="94"/>
      <c r="W41" s="94"/>
      <c r="X41" s="94"/>
      <c r="Y41" s="94"/>
      <c r="Z41" s="94"/>
    </row>
    <row r="42" spans="1:26" x14ac:dyDescent="0.25">
      <c r="A42" s="191" t="s">
        <v>36</v>
      </c>
      <c r="B42" s="300" t="s">
        <v>112</v>
      </c>
      <c r="C42" s="189">
        <v>7.4999999999999997E-3</v>
      </c>
      <c r="D42" s="267" t="s">
        <v>113</v>
      </c>
      <c r="F42" s="35"/>
      <c r="G42" s="35"/>
      <c r="H42" s="79">
        <f t="shared" si="3"/>
        <v>2052</v>
      </c>
      <c r="I42" s="86">
        <f t="shared" si="2"/>
        <v>0.29890359396182387</v>
      </c>
      <c r="J42" s="277">
        <f t="shared" si="4"/>
        <v>5.0699999999999994</v>
      </c>
      <c r="K42" s="277">
        <f t="shared" si="5"/>
        <v>4.8099999999999996</v>
      </c>
      <c r="L42" s="278">
        <f t="shared" si="6"/>
        <v>0</v>
      </c>
      <c r="M42" s="276">
        <f t="shared" si="7"/>
        <v>3.9099999999999997</v>
      </c>
      <c r="N42" s="277">
        <f t="shared" si="8"/>
        <v>3.71</v>
      </c>
      <c r="O42" s="278">
        <f t="shared" si="9"/>
        <v>0</v>
      </c>
      <c r="P42" s="276">
        <f t="shared" si="13"/>
        <v>1.1599999999999997</v>
      </c>
      <c r="Q42" s="279">
        <f t="shared" si="13"/>
        <v>1.0999999999999996</v>
      </c>
      <c r="R42" s="278">
        <f t="shared" si="13"/>
        <v>0</v>
      </c>
      <c r="S42" s="109">
        <f t="shared" si="1"/>
        <v>501423.99999999983</v>
      </c>
      <c r="T42" s="94"/>
      <c r="U42" s="94"/>
      <c r="V42" s="94"/>
      <c r="W42" s="94"/>
      <c r="X42" s="94"/>
      <c r="Y42" s="94"/>
      <c r="Z42" s="94"/>
    </row>
    <row r="43" spans="1:26" x14ac:dyDescent="0.25">
      <c r="A43" s="192" t="s">
        <v>37</v>
      </c>
      <c r="B43" s="267" t="s">
        <v>116</v>
      </c>
      <c r="F43" s="35"/>
      <c r="G43" s="35"/>
      <c r="H43" s="79">
        <f t="shared" si="3"/>
        <v>2053</v>
      </c>
      <c r="I43" s="86">
        <f t="shared" si="2"/>
        <v>0.30864537091653754</v>
      </c>
      <c r="J43" s="277">
        <f t="shared" si="4"/>
        <v>5.1099999999999994</v>
      </c>
      <c r="K43" s="277">
        <f t="shared" si="5"/>
        <v>4.8499999999999996</v>
      </c>
      <c r="L43" s="278">
        <f t="shared" si="6"/>
        <v>0</v>
      </c>
      <c r="M43" s="276">
        <f t="shared" si="7"/>
        <v>3.94</v>
      </c>
      <c r="N43" s="277">
        <f t="shared" si="8"/>
        <v>3.7399999999999998</v>
      </c>
      <c r="O43" s="278">
        <f t="shared" si="9"/>
        <v>0</v>
      </c>
      <c r="P43" s="276">
        <f t="shared" si="13"/>
        <v>1.1699999999999995</v>
      </c>
      <c r="Q43" s="279">
        <f t="shared" si="13"/>
        <v>1.1099999999999999</v>
      </c>
      <c r="R43" s="278">
        <f t="shared" si="13"/>
        <v>0</v>
      </c>
      <c r="S43" s="109">
        <f t="shared" si="1"/>
        <v>505979.99999999994</v>
      </c>
      <c r="T43" s="94"/>
      <c r="U43" s="94"/>
      <c r="V43" s="94"/>
      <c r="W43" s="94"/>
      <c r="X43" s="94"/>
      <c r="Y43" s="94"/>
      <c r="Z43" s="94"/>
    </row>
    <row r="44" spans="1:26" x14ac:dyDescent="0.25">
      <c r="A44" s="9"/>
      <c r="B44" s="43"/>
      <c r="C44" s="43"/>
      <c r="F44" s="35"/>
      <c r="G44" s="37"/>
      <c r="H44" s="79">
        <f t="shared" ref="H44:H47" si="14">H43+1</f>
        <v>2054</v>
      </c>
      <c r="I44" s="86">
        <f t="shared" ref="I44:I47" si="15">((1+$C$42)^(H44-$H$7))-1</f>
        <v>0.31846021119841161</v>
      </c>
      <c r="J44" s="277">
        <f t="shared" ref="J44:J47" si="16">ROUNDUP($J$7*(1+I44),2)</f>
        <v>5.1499999999999995</v>
      </c>
      <c r="K44" s="277">
        <f t="shared" ref="K44:K47" si="17">ROUNDUP($K$7*(1+I44),2)</f>
        <v>4.88</v>
      </c>
      <c r="L44" s="278">
        <f t="shared" ref="L44:L47" si="18">ROUNDUP($L$7*(1+I44),2)</f>
        <v>0</v>
      </c>
      <c r="M44" s="276">
        <f t="shared" ref="M44:M47" si="19">ROUNDUP(J44*$C$23,2)</f>
        <v>3.9699999999999998</v>
      </c>
      <c r="N44" s="277">
        <f t="shared" ref="N44:N47" si="20">ROUNDUP(K44*$C$23,2)</f>
        <v>3.76</v>
      </c>
      <c r="O44" s="278">
        <f t="shared" ref="O44:O47" si="21">ROUNDUP(L44*$C$23,2)</f>
        <v>0</v>
      </c>
      <c r="P44" s="276">
        <f t="shared" ref="P44:P47" si="22">ABS(J44-M44)</f>
        <v>1.1799999999999997</v>
      </c>
      <c r="Q44" s="279">
        <f t="shared" ref="Q44:Q47" si="23">ABS(K44-N44)</f>
        <v>1.1200000000000001</v>
      </c>
      <c r="R44" s="278">
        <f t="shared" ref="R44:R47" si="24">ABS(L44-O44)</f>
        <v>0</v>
      </c>
      <c r="S44" s="109">
        <f t="shared" ref="S44:S47" si="25">((P44*$B$5)+(Q44*$B$6)+(R44*$B$7))</f>
        <v>510536.00000000006</v>
      </c>
      <c r="T44" s="75"/>
    </row>
    <row r="45" spans="1:26" ht="15" customHeight="1" x14ac:dyDescent="0.25">
      <c r="A45" s="43"/>
      <c r="B45" s="43"/>
      <c r="C45" s="43"/>
      <c r="F45" s="35"/>
      <c r="G45" s="37"/>
      <c r="H45" s="79">
        <f t="shared" si="14"/>
        <v>2055</v>
      </c>
      <c r="I45" s="86">
        <f t="shared" si="15"/>
        <v>0.32834866278239994</v>
      </c>
      <c r="J45" s="277">
        <f t="shared" si="16"/>
        <v>5.1899999999999995</v>
      </c>
      <c r="K45" s="277">
        <f t="shared" si="17"/>
        <v>4.92</v>
      </c>
      <c r="L45" s="278">
        <f t="shared" si="18"/>
        <v>0</v>
      </c>
      <c r="M45" s="276">
        <f t="shared" si="19"/>
        <v>4</v>
      </c>
      <c r="N45" s="277">
        <f t="shared" si="20"/>
        <v>3.7899999999999996</v>
      </c>
      <c r="O45" s="278">
        <f t="shared" si="21"/>
        <v>0</v>
      </c>
      <c r="P45" s="276">
        <f t="shared" si="22"/>
        <v>1.1899999999999995</v>
      </c>
      <c r="Q45" s="279">
        <f t="shared" si="23"/>
        <v>1.1300000000000003</v>
      </c>
      <c r="R45" s="278">
        <f t="shared" si="24"/>
        <v>0</v>
      </c>
      <c r="S45" s="109">
        <f t="shared" si="25"/>
        <v>515092.00000000017</v>
      </c>
      <c r="T45" s="75"/>
    </row>
    <row r="46" spans="1:26" x14ac:dyDescent="0.25">
      <c r="A46" s="9"/>
      <c r="B46" s="43"/>
      <c r="C46" s="43"/>
      <c r="F46" s="35"/>
      <c r="G46" s="37"/>
      <c r="H46" s="79">
        <f t="shared" si="14"/>
        <v>2056</v>
      </c>
      <c r="I46" s="86">
        <f t="shared" si="15"/>
        <v>0.33831127775326819</v>
      </c>
      <c r="J46" s="277">
        <f t="shared" si="16"/>
        <v>5.22</v>
      </c>
      <c r="K46" s="277">
        <f t="shared" si="17"/>
        <v>4.96</v>
      </c>
      <c r="L46" s="278">
        <f t="shared" si="18"/>
        <v>0</v>
      </c>
      <c r="M46" s="276">
        <f t="shared" si="19"/>
        <v>4.0199999999999996</v>
      </c>
      <c r="N46" s="277">
        <f t="shared" si="20"/>
        <v>3.82</v>
      </c>
      <c r="O46" s="278">
        <f t="shared" si="21"/>
        <v>0</v>
      </c>
      <c r="P46" s="276">
        <f t="shared" si="22"/>
        <v>1.2000000000000002</v>
      </c>
      <c r="Q46" s="279">
        <f t="shared" si="23"/>
        <v>1.1400000000000001</v>
      </c>
      <c r="R46" s="278">
        <f t="shared" si="24"/>
        <v>0</v>
      </c>
      <c r="S46" s="109">
        <f t="shared" si="25"/>
        <v>519648.00000000006</v>
      </c>
      <c r="T46" s="75"/>
    </row>
    <row r="47" spans="1:26" ht="15.75" thickBot="1" x14ac:dyDescent="0.3">
      <c r="A47" s="43"/>
      <c r="B47" s="43"/>
      <c r="C47" s="43"/>
      <c r="F47" s="35"/>
      <c r="G47" s="37"/>
      <c r="H47" s="329">
        <f t="shared" si="14"/>
        <v>2057</v>
      </c>
      <c r="I47" s="377">
        <f t="shared" si="15"/>
        <v>0.34834861233641767</v>
      </c>
      <c r="J47" s="378">
        <f t="shared" si="16"/>
        <v>5.26</v>
      </c>
      <c r="K47" s="378">
        <f t="shared" si="17"/>
        <v>4.99</v>
      </c>
      <c r="L47" s="379">
        <f t="shared" si="18"/>
        <v>0</v>
      </c>
      <c r="M47" s="380">
        <f t="shared" si="19"/>
        <v>4.0599999999999996</v>
      </c>
      <c r="N47" s="378">
        <f t="shared" si="20"/>
        <v>3.8499999999999996</v>
      </c>
      <c r="O47" s="379">
        <f t="shared" si="21"/>
        <v>0</v>
      </c>
      <c r="P47" s="380">
        <f t="shared" si="22"/>
        <v>1.2000000000000002</v>
      </c>
      <c r="Q47" s="381">
        <f t="shared" si="23"/>
        <v>1.1400000000000006</v>
      </c>
      <c r="R47" s="379">
        <f t="shared" si="24"/>
        <v>0</v>
      </c>
      <c r="S47" s="95">
        <f t="shared" si="25"/>
        <v>519648.00000000023</v>
      </c>
      <c r="T47" s="75"/>
    </row>
    <row r="48" spans="1:26" ht="15.75" thickBot="1" x14ac:dyDescent="0.3">
      <c r="A48" s="43"/>
      <c r="B48" s="43"/>
      <c r="C48" s="43"/>
      <c r="F48" s="35"/>
      <c r="G48" s="9"/>
      <c r="H48" s="97"/>
      <c r="I48" s="98"/>
      <c r="J48" s="97"/>
      <c r="K48" s="99"/>
      <c r="L48" s="99"/>
      <c r="M48" s="99"/>
      <c r="N48" s="99"/>
      <c r="O48" s="99"/>
      <c r="P48" s="9"/>
      <c r="R48" s="204" t="s">
        <v>10</v>
      </c>
      <c r="S48" s="95">
        <f>SUM(S7:S43)</f>
        <v>12407988</v>
      </c>
      <c r="T48" s="75"/>
    </row>
    <row r="49" spans="1:20" x14ac:dyDescent="0.25">
      <c r="A49" s="9"/>
      <c r="B49" s="43"/>
      <c r="C49" s="43"/>
      <c r="F49" s="35"/>
      <c r="G49" s="9"/>
      <c r="H49" s="97"/>
      <c r="I49" s="98"/>
      <c r="J49" s="97"/>
      <c r="K49" s="99"/>
      <c r="L49" s="99"/>
      <c r="M49" s="99"/>
      <c r="N49" s="99"/>
      <c r="O49" s="99"/>
      <c r="P49" s="9"/>
      <c r="T49" s="75"/>
    </row>
    <row r="50" spans="1:20" x14ac:dyDescent="0.25">
      <c r="A50" s="43"/>
      <c r="B50" s="43"/>
      <c r="C50" s="43"/>
      <c r="G50" s="9"/>
      <c r="T50" s="75"/>
    </row>
    <row r="51" spans="1:20" x14ac:dyDescent="0.25">
      <c r="A51" s="9"/>
      <c r="B51" s="43"/>
      <c r="C51" s="43"/>
      <c r="G51" s="9"/>
      <c r="T51" s="75"/>
    </row>
    <row r="52" spans="1:20" x14ac:dyDescent="0.25">
      <c r="A52" s="43"/>
      <c r="B52" s="43"/>
      <c r="C52" s="43"/>
      <c r="G52" s="9"/>
      <c r="H52" s="97"/>
      <c r="I52" s="98"/>
      <c r="J52" s="97"/>
      <c r="K52" s="99"/>
      <c r="L52" s="99"/>
      <c r="M52" s="99"/>
      <c r="N52" s="99"/>
      <c r="O52" s="99"/>
      <c r="P52" s="9"/>
      <c r="T52" s="75"/>
    </row>
    <row r="53" spans="1:20" x14ac:dyDescent="0.25">
      <c r="A53" s="9"/>
      <c r="B53" s="43"/>
      <c r="C53" s="43"/>
      <c r="G53" s="9"/>
      <c r="H53" s="97"/>
      <c r="I53" s="98"/>
      <c r="J53" s="97"/>
      <c r="K53" s="99"/>
      <c r="L53" s="99"/>
      <c r="M53" s="99"/>
      <c r="N53" s="99"/>
      <c r="O53" s="99"/>
      <c r="P53" s="9"/>
      <c r="T53" s="75"/>
    </row>
    <row r="54" spans="1:20" x14ac:dyDescent="0.25">
      <c r="A54" s="43"/>
      <c r="B54" s="43"/>
      <c r="C54" s="43"/>
      <c r="G54" s="9"/>
      <c r="J54" s="99"/>
      <c r="K54" s="99"/>
      <c r="L54" s="99"/>
      <c r="M54" s="99"/>
      <c r="N54" s="99"/>
      <c r="O54" s="99"/>
      <c r="P54" s="9"/>
      <c r="T54" s="75"/>
    </row>
    <row r="55" spans="1:20" x14ac:dyDescent="0.25">
      <c r="A55" s="9"/>
      <c r="B55" s="43"/>
      <c r="C55" s="43"/>
      <c r="G55" s="9"/>
      <c r="J55" s="97"/>
      <c r="K55" s="99"/>
      <c r="L55" s="99"/>
      <c r="M55" s="99"/>
      <c r="N55" s="99"/>
      <c r="O55" s="99"/>
      <c r="P55" s="9"/>
      <c r="T55" s="75"/>
    </row>
    <row r="56" spans="1:20" x14ac:dyDescent="0.25">
      <c r="A56" s="43"/>
      <c r="B56" s="43"/>
      <c r="C56" s="43"/>
      <c r="G56" s="9"/>
      <c r="J56" s="97"/>
      <c r="K56" s="99"/>
      <c r="L56" s="99"/>
      <c r="M56" s="99"/>
      <c r="N56" s="99"/>
      <c r="O56" s="99"/>
      <c r="P56" s="9"/>
      <c r="T56" s="75"/>
    </row>
    <row r="57" spans="1:20" x14ac:dyDescent="0.25">
      <c r="A57" s="43"/>
      <c r="B57" s="43"/>
      <c r="C57" s="43"/>
      <c r="G57" s="9"/>
      <c r="J57" s="97"/>
      <c r="K57" s="99"/>
      <c r="L57" s="99"/>
      <c r="M57" s="99"/>
      <c r="N57" s="99"/>
      <c r="O57" s="99"/>
      <c r="P57" s="9"/>
      <c r="T57" s="75"/>
    </row>
    <row r="58" spans="1:20" x14ac:dyDescent="0.25">
      <c r="A58" s="9"/>
      <c r="B58" s="43"/>
      <c r="C58" s="43"/>
      <c r="G58" s="9"/>
      <c r="J58" s="97"/>
      <c r="K58" s="99"/>
      <c r="L58" s="99"/>
      <c r="M58" s="99"/>
      <c r="N58" s="99"/>
      <c r="O58" s="99"/>
      <c r="P58" s="9"/>
      <c r="T58" s="75"/>
    </row>
    <row r="59" spans="1:20" x14ac:dyDescent="0.25">
      <c r="A59" s="43"/>
      <c r="B59" s="43"/>
      <c r="C59" s="43"/>
      <c r="G59" s="9"/>
      <c r="J59" s="97"/>
      <c r="K59" s="99"/>
      <c r="L59" s="99"/>
      <c r="M59" s="99"/>
      <c r="N59" s="99"/>
      <c r="O59" s="99"/>
      <c r="P59" s="9"/>
      <c r="T59" s="75"/>
    </row>
    <row r="60" spans="1:20" x14ac:dyDescent="0.25">
      <c r="A60" s="9"/>
      <c r="B60" s="43"/>
      <c r="C60" s="43"/>
      <c r="G60" s="9"/>
      <c r="J60" s="97"/>
      <c r="K60" s="99"/>
      <c r="L60" s="99"/>
      <c r="M60" s="99"/>
      <c r="N60" s="99"/>
      <c r="O60" s="99"/>
      <c r="P60" s="9"/>
      <c r="Q60" s="9"/>
      <c r="T60" s="75"/>
    </row>
    <row r="61" spans="1:20" x14ac:dyDescent="0.25">
      <c r="A61" s="43"/>
      <c r="B61" s="43"/>
      <c r="C61" s="43"/>
      <c r="G61" s="9"/>
      <c r="H61" s="97"/>
      <c r="I61" s="98"/>
      <c r="J61" s="97"/>
      <c r="K61" s="99"/>
      <c r="L61" s="99"/>
      <c r="M61" s="99"/>
      <c r="N61" s="99"/>
      <c r="O61" s="99"/>
      <c r="P61" s="9"/>
      <c r="T61" s="75"/>
    </row>
    <row r="62" spans="1:20" x14ac:dyDescent="0.25">
      <c r="A62" s="9"/>
      <c r="B62" s="43"/>
      <c r="C62" s="43"/>
      <c r="G62" s="9"/>
      <c r="H62" s="97"/>
      <c r="I62" s="100"/>
      <c r="J62" s="101"/>
      <c r="K62" s="101"/>
      <c r="L62" s="99"/>
      <c r="M62" s="99"/>
      <c r="N62" s="99"/>
      <c r="O62" s="99"/>
      <c r="P62" s="102"/>
      <c r="Q62" s="75"/>
      <c r="R62" s="75"/>
      <c r="S62" s="75"/>
      <c r="T62" s="75"/>
    </row>
    <row r="63" spans="1:20" ht="15" customHeight="1" x14ac:dyDescent="0.25">
      <c r="A63" s="43"/>
      <c r="B63" s="43"/>
      <c r="C63" s="43"/>
      <c r="G63" s="9"/>
      <c r="H63" s="97"/>
      <c r="I63" s="100"/>
      <c r="J63" s="97"/>
      <c r="K63" s="101"/>
      <c r="L63" s="99"/>
      <c r="M63" s="99"/>
      <c r="N63" s="99"/>
      <c r="O63" s="99"/>
      <c r="P63" s="103"/>
      <c r="Q63" s="35"/>
      <c r="R63" s="35"/>
      <c r="S63" s="35"/>
      <c r="T63" s="75"/>
    </row>
    <row r="64" spans="1:20" x14ac:dyDescent="0.25">
      <c r="A64" s="9"/>
      <c r="B64" s="43"/>
      <c r="C64" s="43"/>
      <c r="G64" s="9"/>
      <c r="H64" s="97"/>
      <c r="I64" s="100"/>
      <c r="J64" s="97"/>
      <c r="K64" s="101"/>
      <c r="L64" s="99"/>
      <c r="M64" s="99"/>
      <c r="N64" s="99"/>
      <c r="O64" s="99"/>
      <c r="P64" s="37"/>
      <c r="Q64" s="35"/>
      <c r="R64" s="35"/>
      <c r="S64" s="35"/>
      <c r="T64" s="75"/>
    </row>
    <row r="65" spans="1:20" x14ac:dyDescent="0.25">
      <c r="A65" s="9"/>
      <c r="B65" s="9"/>
      <c r="C65" s="9"/>
      <c r="G65" s="9"/>
      <c r="H65" s="97"/>
      <c r="I65" s="100"/>
      <c r="J65" s="97"/>
      <c r="K65" s="101"/>
      <c r="L65" s="99"/>
      <c r="M65" s="99"/>
      <c r="N65" s="99"/>
      <c r="O65" s="99"/>
      <c r="P65" s="37"/>
      <c r="Q65" s="35"/>
      <c r="R65" s="35"/>
      <c r="S65" s="35"/>
      <c r="T65" s="35"/>
    </row>
    <row r="66" spans="1:20" x14ac:dyDescent="0.25">
      <c r="A66" s="9"/>
      <c r="B66" s="9"/>
      <c r="C66" s="9"/>
      <c r="G66" s="9"/>
      <c r="H66" s="97"/>
      <c r="I66" s="100"/>
      <c r="J66" s="97"/>
      <c r="K66" s="101"/>
      <c r="L66" s="99"/>
      <c r="M66" s="99"/>
      <c r="N66" s="99"/>
      <c r="O66" s="99"/>
      <c r="P66" s="37"/>
      <c r="Q66" s="35"/>
      <c r="R66" s="35"/>
      <c r="S66" s="35"/>
      <c r="T66" s="35"/>
    </row>
    <row r="67" spans="1:20" x14ac:dyDescent="0.25">
      <c r="A67" s="9"/>
      <c r="B67" s="9"/>
      <c r="C67" s="9"/>
      <c r="G67" s="9"/>
      <c r="H67" s="97"/>
      <c r="I67" s="100"/>
      <c r="J67" s="97"/>
      <c r="K67" s="101"/>
      <c r="L67" s="99"/>
      <c r="M67" s="99"/>
      <c r="N67" s="99"/>
      <c r="O67" s="99"/>
      <c r="P67" s="37"/>
      <c r="Q67" s="35"/>
      <c r="R67" s="35"/>
      <c r="S67" s="35"/>
      <c r="T67" s="35"/>
    </row>
    <row r="68" spans="1:20" x14ac:dyDescent="0.25">
      <c r="A68" s="9"/>
      <c r="B68" s="9"/>
      <c r="C68" s="9"/>
      <c r="G68" s="9"/>
      <c r="H68" s="97"/>
      <c r="I68" s="100"/>
      <c r="J68" s="97"/>
      <c r="K68" s="101"/>
      <c r="L68" s="99"/>
      <c r="M68" s="99"/>
      <c r="N68" s="99"/>
      <c r="O68" s="99"/>
      <c r="P68" s="37"/>
      <c r="Q68" s="35"/>
      <c r="R68" s="35"/>
      <c r="S68" s="35"/>
      <c r="T68" s="35"/>
    </row>
    <row r="69" spans="1:20" x14ac:dyDescent="0.25">
      <c r="G69" s="9"/>
      <c r="H69" s="97"/>
      <c r="I69" s="100"/>
      <c r="J69" s="97"/>
      <c r="K69" s="101"/>
      <c r="L69" s="99"/>
      <c r="M69" s="99"/>
      <c r="N69" s="99"/>
      <c r="O69" s="99"/>
      <c r="P69" s="9"/>
      <c r="T69" s="35"/>
    </row>
    <row r="70" spans="1:20" x14ac:dyDescent="0.25">
      <c r="G70" s="9"/>
      <c r="H70" s="97"/>
      <c r="I70" s="100"/>
      <c r="J70" s="97"/>
      <c r="K70" s="101"/>
      <c r="L70" s="99"/>
      <c r="M70" s="99"/>
      <c r="N70" s="99"/>
      <c r="O70" s="99"/>
      <c r="P70" s="9"/>
      <c r="T70" s="35"/>
    </row>
    <row r="71" spans="1:20" x14ac:dyDescent="0.25">
      <c r="G71" s="9"/>
      <c r="H71" s="97"/>
      <c r="I71" s="100"/>
      <c r="J71" s="97"/>
      <c r="K71" s="101"/>
      <c r="L71" s="99"/>
      <c r="M71" s="99"/>
      <c r="N71" s="99"/>
      <c r="O71" s="99"/>
      <c r="P71" s="9"/>
      <c r="T71" s="35"/>
    </row>
    <row r="72" spans="1:20" x14ac:dyDescent="0.25">
      <c r="G72" s="9"/>
      <c r="H72" s="97"/>
      <c r="I72" s="100"/>
      <c r="J72" s="97"/>
      <c r="K72" s="101"/>
      <c r="L72" s="99"/>
      <c r="M72" s="99"/>
      <c r="N72" s="99"/>
      <c r="O72" s="99"/>
      <c r="P72" s="104"/>
      <c r="Q72" s="77"/>
      <c r="R72" s="75"/>
      <c r="S72" s="75"/>
      <c r="T72" s="35"/>
    </row>
    <row r="73" spans="1:20" x14ac:dyDescent="0.25">
      <c r="G73" s="9"/>
      <c r="H73" s="97"/>
      <c r="I73" s="100"/>
      <c r="J73" s="97"/>
      <c r="K73" s="101"/>
      <c r="L73" s="99"/>
      <c r="M73" s="99"/>
      <c r="N73" s="99"/>
      <c r="O73" s="99"/>
      <c r="P73" s="76"/>
      <c r="Q73" s="77"/>
      <c r="R73" s="75"/>
      <c r="S73" s="76"/>
      <c r="T73" s="35"/>
    </row>
    <row r="74" spans="1:20" x14ac:dyDescent="0.25">
      <c r="G74" s="9"/>
      <c r="H74" s="97"/>
      <c r="I74" s="100"/>
      <c r="J74" s="97"/>
      <c r="K74" s="101"/>
      <c r="L74" s="99"/>
      <c r="M74" s="99"/>
      <c r="N74" s="99"/>
      <c r="O74" s="99"/>
      <c r="P74" s="76"/>
      <c r="Q74" s="77"/>
      <c r="R74" s="75"/>
      <c r="S74" s="75"/>
      <c r="T74" s="35"/>
    </row>
    <row r="75" spans="1:20" x14ac:dyDescent="0.25">
      <c r="G75" s="9"/>
      <c r="H75" s="97"/>
      <c r="I75" s="100"/>
      <c r="J75" s="97"/>
      <c r="K75" s="101"/>
      <c r="L75" s="99"/>
      <c r="M75" s="99"/>
      <c r="N75" s="99"/>
      <c r="O75" s="99"/>
      <c r="P75" s="76"/>
      <c r="Q75" s="75"/>
      <c r="R75" s="75"/>
      <c r="S75" s="75"/>
      <c r="T75" s="35"/>
    </row>
    <row r="76" spans="1:20" x14ac:dyDescent="0.25">
      <c r="G76" s="9"/>
      <c r="H76" s="97"/>
      <c r="I76" s="100"/>
      <c r="J76" s="97"/>
      <c r="K76" s="101"/>
      <c r="L76" s="99"/>
      <c r="M76" s="99"/>
      <c r="N76" s="99"/>
      <c r="O76" s="99"/>
      <c r="P76" s="76"/>
      <c r="Q76" s="75"/>
      <c r="R76" s="75"/>
      <c r="S76" s="75"/>
    </row>
    <row r="77" spans="1:20" x14ac:dyDescent="0.25">
      <c r="G77" s="9"/>
      <c r="H77" s="105"/>
      <c r="I77" s="9"/>
      <c r="J77" s="9"/>
      <c r="K77" s="9"/>
      <c r="L77" s="9"/>
      <c r="M77" s="9"/>
      <c r="N77" s="9"/>
      <c r="O77" s="9"/>
      <c r="P77" s="76"/>
      <c r="Q77" s="75"/>
      <c r="R77" s="75"/>
      <c r="S77" s="75"/>
    </row>
    <row r="78" spans="1:20" x14ac:dyDescent="0.25">
      <c r="G78" s="9"/>
      <c r="H78" s="9"/>
      <c r="I78" s="9"/>
      <c r="J78" s="9"/>
      <c r="K78" s="9"/>
      <c r="L78" s="9"/>
      <c r="M78" s="9"/>
      <c r="N78" s="9"/>
      <c r="O78" s="9"/>
      <c r="P78" s="76"/>
      <c r="Q78" s="75"/>
      <c r="R78" s="75"/>
      <c r="S78" s="75"/>
    </row>
    <row r="79" spans="1:20" x14ac:dyDescent="0.25"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20" x14ac:dyDescent="0.25">
      <c r="G80" s="9"/>
    </row>
    <row r="81" spans="7:7" x14ac:dyDescent="0.25">
      <c r="G81" s="9"/>
    </row>
  </sheetData>
  <mergeCells count="20">
    <mergeCell ref="A14:B15"/>
    <mergeCell ref="C14:C15"/>
    <mergeCell ref="A22:C22"/>
    <mergeCell ref="A23:B23"/>
    <mergeCell ref="A25:F25"/>
    <mergeCell ref="H4:L4"/>
    <mergeCell ref="M4:O4"/>
    <mergeCell ref="P4:R4"/>
    <mergeCell ref="S4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35" right="0.2" top="0.75" bottom="0.75" header="0.3" footer="0.3"/>
  <pageSetup paperSize="133" scale="7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EA78-0C3C-49F1-AB71-CAA0F9754A8B}">
  <sheetPr>
    <pageSetUpPr fitToPage="1"/>
  </sheetPr>
  <dimension ref="A1:Z81"/>
  <sheetViews>
    <sheetView view="pageBreakPreview" topLeftCell="A8" zoomScale="70" zoomScaleNormal="90" zoomScaleSheetLayoutView="70" workbookViewId="0">
      <selection activeCell="A25" sqref="A25:F25"/>
    </sheetView>
  </sheetViews>
  <sheetFormatPr defaultRowHeight="15" x14ac:dyDescent="0.25"/>
  <cols>
    <col min="1" max="1" width="13.85546875" style="267" customWidth="1"/>
    <col min="2" max="2" width="14.5703125" style="267" customWidth="1"/>
    <col min="3" max="3" width="14.42578125" style="267" customWidth="1"/>
    <col min="4" max="4" width="11.85546875" style="267" customWidth="1"/>
    <col min="5" max="5" width="14" style="267" customWidth="1"/>
    <col min="6" max="8" width="9.140625" style="267"/>
    <col min="9" max="9" width="28.7109375" style="267" customWidth="1"/>
    <col min="10" max="15" width="14.7109375" style="267" customWidth="1"/>
    <col min="16" max="18" width="14.28515625" style="267" customWidth="1"/>
    <col min="19" max="19" width="19" style="267" customWidth="1"/>
    <col min="20" max="20" width="15" style="267" customWidth="1"/>
    <col min="21" max="21" width="16.140625" style="267" customWidth="1"/>
    <col min="22" max="22" width="16.85546875" style="267" customWidth="1"/>
    <col min="23" max="23" width="15" style="267" customWidth="1"/>
    <col min="24" max="24" width="34.5703125" style="267" customWidth="1"/>
    <col min="25" max="16384" width="9.140625" style="267"/>
  </cols>
  <sheetData>
    <row r="1" spans="1:24" ht="15.75" x14ac:dyDescent="0.25">
      <c r="A1" s="62" t="s">
        <v>167</v>
      </c>
    </row>
    <row r="2" spans="1:24" ht="15.75" x14ac:dyDescent="0.25">
      <c r="A2" s="62" t="s">
        <v>8</v>
      </c>
      <c r="B2" s="35"/>
      <c r="C2" s="35"/>
      <c r="D2" s="35"/>
      <c r="E2" s="35"/>
      <c r="F2" s="3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4" ht="15.75" thickBot="1" x14ac:dyDescent="0.3">
      <c r="A3" s="37"/>
      <c r="B3" s="37"/>
      <c r="C3" s="201"/>
      <c r="D3" s="202"/>
      <c r="E3" s="202"/>
      <c r="F3" s="3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4" ht="15.75" thickBot="1" x14ac:dyDescent="0.3">
      <c r="A4" s="63" t="s">
        <v>5</v>
      </c>
      <c r="B4" s="64" t="s">
        <v>267</v>
      </c>
      <c r="C4" s="65"/>
      <c r="D4" s="37"/>
      <c r="E4" s="35"/>
      <c r="F4" s="35"/>
      <c r="H4" s="552" t="s">
        <v>118</v>
      </c>
      <c r="I4" s="553"/>
      <c r="J4" s="553"/>
      <c r="K4" s="553"/>
      <c r="L4" s="554"/>
      <c r="M4" s="552" t="s">
        <v>119</v>
      </c>
      <c r="N4" s="553"/>
      <c r="O4" s="554"/>
      <c r="P4" s="552" t="s">
        <v>120</v>
      </c>
      <c r="Q4" s="553"/>
      <c r="R4" s="554"/>
      <c r="S4" s="560" t="s">
        <v>268</v>
      </c>
      <c r="T4" s="75"/>
    </row>
    <row r="5" spans="1:24" ht="17.25" x14ac:dyDescent="0.25">
      <c r="A5" s="66" t="s">
        <v>191</v>
      </c>
      <c r="B5" s="67">
        <v>4400</v>
      </c>
      <c r="C5" s="68"/>
      <c r="D5" s="37"/>
      <c r="E5" s="35"/>
      <c r="F5" s="35"/>
      <c r="H5" s="563" t="s">
        <v>4</v>
      </c>
      <c r="I5" s="565" t="s">
        <v>117</v>
      </c>
      <c r="J5" s="567" t="s">
        <v>12</v>
      </c>
      <c r="K5" s="567" t="s">
        <v>13</v>
      </c>
      <c r="L5" s="555" t="s">
        <v>34</v>
      </c>
      <c r="M5" s="569" t="s">
        <v>12</v>
      </c>
      <c r="N5" s="571" t="s">
        <v>13</v>
      </c>
      <c r="O5" s="573" t="s">
        <v>34</v>
      </c>
      <c r="P5" s="563" t="s">
        <v>12</v>
      </c>
      <c r="Q5" s="567" t="s">
        <v>13</v>
      </c>
      <c r="R5" s="555" t="s">
        <v>14</v>
      </c>
      <c r="S5" s="561"/>
      <c r="T5" s="75"/>
    </row>
    <row r="6" spans="1:24" ht="18" thickBot="1" x14ac:dyDescent="0.3">
      <c r="A6" s="69" t="s">
        <v>192</v>
      </c>
      <c r="B6" s="70">
        <v>451200</v>
      </c>
      <c r="C6" s="68"/>
      <c r="D6" s="37"/>
      <c r="E6" s="35"/>
      <c r="F6" s="35"/>
      <c r="H6" s="564"/>
      <c r="I6" s="566"/>
      <c r="J6" s="568"/>
      <c r="K6" s="568"/>
      <c r="L6" s="556"/>
      <c r="M6" s="570"/>
      <c r="N6" s="572"/>
      <c r="O6" s="574"/>
      <c r="P6" s="564"/>
      <c r="Q6" s="568"/>
      <c r="R6" s="556"/>
      <c r="S6" s="562"/>
      <c r="T6" s="75"/>
      <c r="W6" s="9"/>
      <c r="X6" s="9"/>
    </row>
    <row r="7" spans="1:24" ht="18" thickBot="1" x14ac:dyDescent="0.3">
      <c r="A7" s="71" t="s">
        <v>193</v>
      </c>
      <c r="B7" s="72">
        <v>9600000</v>
      </c>
      <c r="C7" s="68"/>
      <c r="D7" s="37"/>
      <c r="E7" s="35"/>
      <c r="F7" s="35"/>
      <c r="H7" s="78">
        <v>2017</v>
      </c>
      <c r="I7" s="200">
        <v>0</v>
      </c>
      <c r="J7" s="274">
        <f>C17</f>
        <v>0.8</v>
      </c>
      <c r="K7" s="274">
        <f>C18</f>
        <v>1.2</v>
      </c>
      <c r="L7" s="275">
        <v>0</v>
      </c>
      <c r="M7" s="273">
        <f t="shared" ref="M7:O9" si="0">ROUNDUP(J7*$C$23,2)</f>
        <v>0.6</v>
      </c>
      <c r="N7" s="274">
        <f t="shared" si="0"/>
        <v>0.9</v>
      </c>
      <c r="O7" s="275">
        <f t="shared" si="0"/>
        <v>0</v>
      </c>
      <c r="P7" s="78"/>
      <c r="Q7" s="382"/>
      <c r="R7" s="383"/>
      <c r="S7" s="384">
        <f t="shared" ref="S7:S43" si="1">((P7*$B$5)+(Q7*$B$6)+(R7*$B$7))</f>
        <v>0</v>
      </c>
      <c r="T7" s="75"/>
      <c r="X7" s="9"/>
    </row>
    <row r="8" spans="1:24" x14ac:dyDescent="0.25">
      <c r="A8" s="73"/>
      <c r="B8" s="73"/>
      <c r="C8" s="35"/>
      <c r="D8" s="35"/>
      <c r="E8" s="35"/>
      <c r="F8" s="35"/>
      <c r="H8" s="79">
        <f>H7+1</f>
        <v>2018</v>
      </c>
      <c r="I8" s="86">
        <f t="shared" ref="I8:I43" si="2">((1+$C$42)^(H8-$H$7))-1</f>
        <v>7.5000000000000622E-3</v>
      </c>
      <c r="J8" s="277">
        <f>ROUNDUP($J$7*(1+I8),2)</f>
        <v>0.81</v>
      </c>
      <c r="K8" s="277">
        <f>ROUNDUP($K$7*(1+I8),2)</f>
        <v>1.21</v>
      </c>
      <c r="L8" s="278">
        <f>ROUNDUP($L$7*(1+I8),2)</f>
        <v>0</v>
      </c>
      <c r="M8" s="276">
        <f t="shared" si="0"/>
        <v>0.61</v>
      </c>
      <c r="N8" s="277">
        <f t="shared" si="0"/>
        <v>0.91</v>
      </c>
      <c r="O8" s="278">
        <f t="shared" si="0"/>
        <v>0</v>
      </c>
      <c r="P8" s="79"/>
      <c r="Q8" s="85"/>
      <c r="R8" s="87"/>
      <c r="S8" s="109">
        <f t="shared" si="1"/>
        <v>0</v>
      </c>
      <c r="T8" s="75"/>
    </row>
    <row r="9" spans="1:24" x14ac:dyDescent="0.25">
      <c r="A9" s="73" t="s">
        <v>196</v>
      </c>
      <c r="B9" s="73"/>
      <c r="C9" s="35"/>
      <c r="D9" s="35"/>
      <c r="E9" s="35"/>
      <c r="F9" s="35"/>
      <c r="H9" s="79">
        <f t="shared" ref="H9:H47" si="3">H8+1</f>
        <v>2019</v>
      </c>
      <c r="I9" s="86">
        <f t="shared" si="2"/>
        <v>1.5056250000000215E-2</v>
      </c>
      <c r="J9" s="277">
        <f t="shared" ref="J9:J43" si="4">ROUNDUP($J$7*(1+I9),2)</f>
        <v>0.82000000000000006</v>
      </c>
      <c r="K9" s="277">
        <f t="shared" ref="K9:K43" si="5">ROUNDUP($K$7*(1+I9),2)</f>
        <v>1.22</v>
      </c>
      <c r="L9" s="278">
        <f t="shared" ref="L9:L43" si="6">ROUNDUP($L$7*(1+I9),2)</f>
        <v>0</v>
      </c>
      <c r="M9" s="276">
        <f t="shared" si="0"/>
        <v>0.62</v>
      </c>
      <c r="N9" s="277">
        <f t="shared" si="0"/>
        <v>0.92</v>
      </c>
      <c r="O9" s="278">
        <f t="shared" si="0"/>
        <v>0</v>
      </c>
      <c r="P9" s="79"/>
      <c r="Q9" s="85"/>
      <c r="R9" s="87"/>
      <c r="S9" s="109">
        <f t="shared" si="1"/>
        <v>0</v>
      </c>
      <c r="T9" s="75"/>
    </row>
    <row r="10" spans="1:24" x14ac:dyDescent="0.25">
      <c r="A10" s="299" t="s">
        <v>36</v>
      </c>
      <c r="B10" s="73" t="s">
        <v>195</v>
      </c>
      <c r="C10" s="35"/>
      <c r="D10" s="35"/>
      <c r="E10" s="35"/>
      <c r="F10" s="35"/>
      <c r="H10" s="79">
        <f t="shared" si="3"/>
        <v>2020</v>
      </c>
      <c r="I10" s="86">
        <f t="shared" si="2"/>
        <v>2.2669171875000282E-2</v>
      </c>
      <c r="J10" s="277">
        <f t="shared" si="4"/>
        <v>0.82000000000000006</v>
      </c>
      <c r="K10" s="277">
        <f t="shared" si="5"/>
        <v>1.23</v>
      </c>
      <c r="L10" s="278">
        <f t="shared" si="6"/>
        <v>0</v>
      </c>
      <c r="M10" s="276">
        <f t="shared" ref="M10:M43" si="7">ROUNDUP(J10*$C$23,2)</f>
        <v>0.62</v>
      </c>
      <c r="N10" s="277">
        <f t="shared" ref="N10:N43" si="8">ROUNDUP(K10*$C$23,2)</f>
        <v>0.93</v>
      </c>
      <c r="O10" s="278">
        <f t="shared" ref="O10:O43" si="9">ROUNDUP(L10*$C$23,2)</f>
        <v>0</v>
      </c>
      <c r="P10" s="79"/>
      <c r="Q10" s="85"/>
      <c r="R10" s="87"/>
      <c r="S10" s="109">
        <f t="shared" si="1"/>
        <v>0</v>
      </c>
      <c r="T10" s="75"/>
    </row>
    <row r="11" spans="1:24" x14ac:dyDescent="0.25">
      <c r="A11" s="299" t="s">
        <v>37</v>
      </c>
      <c r="B11" s="73" t="s">
        <v>197</v>
      </c>
      <c r="C11" s="35"/>
      <c r="D11" s="35"/>
      <c r="E11" s="35"/>
      <c r="F11" s="35"/>
      <c r="H11" s="79">
        <f t="shared" si="3"/>
        <v>2021</v>
      </c>
      <c r="I11" s="86">
        <f t="shared" si="2"/>
        <v>3.0339190664062876E-2</v>
      </c>
      <c r="J11" s="277">
        <f t="shared" si="4"/>
        <v>0.83</v>
      </c>
      <c r="K11" s="277">
        <f t="shared" si="5"/>
        <v>1.24</v>
      </c>
      <c r="L11" s="278">
        <f t="shared" si="6"/>
        <v>0</v>
      </c>
      <c r="M11" s="276">
        <f t="shared" si="7"/>
        <v>0.63</v>
      </c>
      <c r="N11" s="277">
        <f t="shared" si="8"/>
        <v>0.93</v>
      </c>
      <c r="O11" s="278">
        <f t="shared" si="9"/>
        <v>0</v>
      </c>
      <c r="P11" s="79"/>
      <c r="Q11" s="85"/>
      <c r="R11" s="87"/>
      <c r="S11" s="109">
        <f t="shared" si="1"/>
        <v>0</v>
      </c>
      <c r="T11" s="75"/>
    </row>
    <row r="12" spans="1:24" ht="15" customHeight="1" x14ac:dyDescent="0.25">
      <c r="A12" s="299" t="s">
        <v>38</v>
      </c>
      <c r="B12" s="73" t="s">
        <v>198</v>
      </c>
      <c r="C12" s="35"/>
      <c r="D12" s="35"/>
      <c r="E12" s="35"/>
      <c r="F12" s="35"/>
      <c r="H12" s="79">
        <f t="shared" si="3"/>
        <v>2022</v>
      </c>
      <c r="I12" s="86">
        <f t="shared" si="2"/>
        <v>3.8066734594043306E-2</v>
      </c>
      <c r="J12" s="277">
        <f t="shared" si="4"/>
        <v>0.84</v>
      </c>
      <c r="K12" s="277">
        <f t="shared" si="5"/>
        <v>1.25</v>
      </c>
      <c r="L12" s="278">
        <f t="shared" si="6"/>
        <v>0</v>
      </c>
      <c r="M12" s="276">
        <f t="shared" si="7"/>
        <v>0.63</v>
      </c>
      <c r="N12" s="277">
        <f t="shared" si="8"/>
        <v>0.94000000000000006</v>
      </c>
      <c r="O12" s="278">
        <f t="shared" si="9"/>
        <v>0</v>
      </c>
      <c r="P12" s="79"/>
      <c r="Q12" s="85"/>
      <c r="R12" s="87"/>
      <c r="S12" s="109">
        <f t="shared" si="1"/>
        <v>0</v>
      </c>
      <c r="T12" s="75"/>
    </row>
    <row r="13" spans="1:24" ht="15.75" thickBot="1" x14ac:dyDescent="0.3">
      <c r="A13" s="35"/>
      <c r="B13" s="35"/>
      <c r="C13" s="35"/>
      <c r="D13" s="35"/>
      <c r="E13" s="35"/>
      <c r="F13" s="35"/>
      <c r="H13" s="79">
        <f t="shared" si="3"/>
        <v>2023</v>
      </c>
      <c r="I13" s="86">
        <f t="shared" si="2"/>
        <v>4.5852235103498895E-2</v>
      </c>
      <c r="J13" s="277">
        <f t="shared" si="4"/>
        <v>0.84</v>
      </c>
      <c r="K13" s="277">
        <f t="shared" si="5"/>
        <v>1.26</v>
      </c>
      <c r="L13" s="278">
        <f t="shared" si="6"/>
        <v>0</v>
      </c>
      <c r="M13" s="276">
        <f t="shared" si="7"/>
        <v>0.63</v>
      </c>
      <c r="N13" s="277">
        <f t="shared" si="8"/>
        <v>0.95</v>
      </c>
      <c r="O13" s="278">
        <f t="shared" si="9"/>
        <v>0</v>
      </c>
      <c r="P13" s="79"/>
      <c r="Q13" s="85"/>
      <c r="R13" s="87"/>
      <c r="S13" s="109">
        <f t="shared" si="1"/>
        <v>0</v>
      </c>
      <c r="T13" s="75"/>
    </row>
    <row r="14" spans="1:24" ht="15" customHeight="1" x14ac:dyDescent="0.25">
      <c r="A14" s="577" t="s">
        <v>199</v>
      </c>
      <c r="B14" s="577"/>
      <c r="C14" s="577" t="s">
        <v>11</v>
      </c>
      <c r="D14" s="35"/>
      <c r="E14" s="35"/>
      <c r="F14" s="35"/>
      <c r="H14" s="79">
        <f t="shared" si="3"/>
        <v>2024</v>
      </c>
      <c r="I14" s="86">
        <f t="shared" si="2"/>
        <v>5.3696126866775273E-2</v>
      </c>
      <c r="J14" s="277">
        <f t="shared" si="4"/>
        <v>0.85</v>
      </c>
      <c r="K14" s="277">
        <f t="shared" si="5"/>
        <v>1.27</v>
      </c>
      <c r="L14" s="278">
        <f t="shared" si="6"/>
        <v>0</v>
      </c>
      <c r="M14" s="276">
        <f t="shared" si="7"/>
        <v>0.64</v>
      </c>
      <c r="N14" s="277">
        <f t="shared" si="8"/>
        <v>0.96</v>
      </c>
      <c r="O14" s="278">
        <f t="shared" si="9"/>
        <v>0</v>
      </c>
      <c r="P14" s="79"/>
      <c r="Q14" s="85"/>
      <c r="R14" s="87"/>
      <c r="S14" s="109">
        <f t="shared" si="1"/>
        <v>0</v>
      </c>
      <c r="T14" s="75"/>
    </row>
    <row r="15" spans="1:24" ht="15.75" thickBot="1" x14ac:dyDescent="0.3">
      <c r="A15" s="578"/>
      <c r="B15" s="578"/>
      <c r="C15" s="578"/>
      <c r="D15" s="35"/>
      <c r="E15" s="35"/>
      <c r="F15" s="35"/>
      <c r="H15" s="79">
        <f t="shared" si="3"/>
        <v>2025</v>
      </c>
      <c r="I15" s="86">
        <f t="shared" si="2"/>
        <v>6.159884781827607E-2</v>
      </c>
      <c r="J15" s="277">
        <f t="shared" si="4"/>
        <v>0.85</v>
      </c>
      <c r="K15" s="277">
        <f t="shared" si="5"/>
        <v>1.28</v>
      </c>
      <c r="L15" s="278">
        <f t="shared" si="6"/>
        <v>0</v>
      </c>
      <c r="M15" s="276">
        <f t="shared" si="7"/>
        <v>0.64</v>
      </c>
      <c r="N15" s="277">
        <f t="shared" si="8"/>
        <v>0.96</v>
      </c>
      <c r="O15" s="278">
        <f t="shared" si="9"/>
        <v>0</v>
      </c>
      <c r="P15" s="79"/>
      <c r="Q15" s="85"/>
      <c r="R15" s="87"/>
      <c r="S15" s="109">
        <f t="shared" si="1"/>
        <v>0</v>
      </c>
      <c r="T15" s="75"/>
    </row>
    <row r="16" spans="1:24" x14ac:dyDescent="0.25">
      <c r="A16" s="66" t="s">
        <v>31</v>
      </c>
      <c r="B16" s="66">
        <v>20</v>
      </c>
      <c r="C16" s="82">
        <f>B16/10</f>
        <v>2</v>
      </c>
      <c r="D16" s="35"/>
      <c r="E16" s="35"/>
      <c r="F16" s="35"/>
      <c r="H16" s="79">
        <f t="shared" si="3"/>
        <v>2026</v>
      </c>
      <c r="I16" s="86">
        <f t="shared" si="2"/>
        <v>6.9560839176913136E-2</v>
      </c>
      <c r="J16" s="277">
        <f t="shared" si="4"/>
        <v>0.86</v>
      </c>
      <c r="K16" s="277">
        <f t="shared" si="5"/>
        <v>1.29</v>
      </c>
      <c r="L16" s="278">
        <f t="shared" si="6"/>
        <v>0</v>
      </c>
      <c r="M16" s="276">
        <f t="shared" si="7"/>
        <v>0.65</v>
      </c>
      <c r="N16" s="277">
        <f t="shared" si="8"/>
        <v>0.97</v>
      </c>
      <c r="O16" s="278">
        <f t="shared" si="9"/>
        <v>0</v>
      </c>
      <c r="P16" s="79"/>
      <c r="Q16" s="85"/>
      <c r="R16" s="87"/>
      <c r="S16" s="109">
        <f t="shared" si="1"/>
        <v>0</v>
      </c>
      <c r="T16" s="75"/>
    </row>
    <row r="17" spans="1:20" x14ac:dyDescent="0.25">
      <c r="A17" s="69" t="s">
        <v>6</v>
      </c>
      <c r="B17" s="69">
        <v>8</v>
      </c>
      <c r="C17" s="83">
        <f>B17/10</f>
        <v>0.8</v>
      </c>
      <c r="D17" s="35"/>
      <c r="E17" s="35"/>
      <c r="F17" s="35"/>
      <c r="H17" s="79">
        <f t="shared" si="3"/>
        <v>2027</v>
      </c>
      <c r="I17" s="86">
        <f t="shared" si="2"/>
        <v>7.7582545470740172E-2</v>
      </c>
      <c r="J17" s="277">
        <f t="shared" si="4"/>
        <v>0.87</v>
      </c>
      <c r="K17" s="277">
        <f t="shared" si="5"/>
        <v>1.3</v>
      </c>
      <c r="L17" s="278">
        <f t="shared" si="6"/>
        <v>0</v>
      </c>
      <c r="M17" s="276">
        <f t="shared" si="7"/>
        <v>0.66</v>
      </c>
      <c r="N17" s="277">
        <f t="shared" si="8"/>
        <v>0.98</v>
      </c>
      <c r="O17" s="278">
        <f t="shared" si="9"/>
        <v>0</v>
      </c>
      <c r="P17" s="276">
        <f t="shared" ref="P17:P22" si="10">ABS(J17-M17)</f>
        <v>0.20999999999999996</v>
      </c>
      <c r="Q17" s="279">
        <f t="shared" ref="Q17:Q22" si="11">ABS(K17-N17)</f>
        <v>0.32000000000000006</v>
      </c>
      <c r="R17" s="278">
        <f t="shared" ref="R17:R22" si="12">ABS(L17-O17)</f>
        <v>0</v>
      </c>
      <c r="S17" s="109">
        <f t="shared" si="1"/>
        <v>145308.00000000003</v>
      </c>
      <c r="T17" s="75"/>
    </row>
    <row r="18" spans="1:20" x14ac:dyDescent="0.25">
      <c r="A18" s="69" t="s">
        <v>7</v>
      </c>
      <c r="B18" s="69">
        <v>12</v>
      </c>
      <c r="C18" s="83">
        <f>B18/10</f>
        <v>1.2</v>
      </c>
      <c r="D18" s="42"/>
      <c r="E18" s="35"/>
      <c r="F18" s="35"/>
      <c r="H18" s="79">
        <f t="shared" si="3"/>
        <v>2028</v>
      </c>
      <c r="I18" s="86">
        <f t="shared" si="2"/>
        <v>8.5664414561770874E-2</v>
      </c>
      <c r="J18" s="277">
        <f t="shared" si="4"/>
        <v>0.87</v>
      </c>
      <c r="K18" s="277">
        <f t="shared" si="5"/>
        <v>1.31</v>
      </c>
      <c r="L18" s="278">
        <f t="shared" si="6"/>
        <v>0</v>
      </c>
      <c r="M18" s="276">
        <f t="shared" si="7"/>
        <v>0.66</v>
      </c>
      <c r="N18" s="277">
        <f t="shared" si="8"/>
        <v>0.99</v>
      </c>
      <c r="O18" s="278">
        <f t="shared" si="9"/>
        <v>0</v>
      </c>
      <c r="P18" s="276">
        <f t="shared" si="10"/>
        <v>0.20999999999999996</v>
      </c>
      <c r="Q18" s="279">
        <f t="shared" si="11"/>
        <v>0.32000000000000006</v>
      </c>
      <c r="R18" s="278">
        <f t="shared" si="12"/>
        <v>0</v>
      </c>
      <c r="S18" s="109">
        <f t="shared" si="1"/>
        <v>145308.00000000003</v>
      </c>
      <c r="T18" s="75"/>
    </row>
    <row r="19" spans="1:20" ht="15.75" thickBot="1" x14ac:dyDescent="0.3">
      <c r="A19" s="71" t="s">
        <v>9</v>
      </c>
      <c r="B19" s="71">
        <v>0</v>
      </c>
      <c r="C19" s="84">
        <f>B19/10</f>
        <v>0</v>
      </c>
      <c r="D19" s="42"/>
      <c r="E19" s="35"/>
      <c r="F19" s="35"/>
      <c r="H19" s="79">
        <f t="shared" si="3"/>
        <v>2029</v>
      </c>
      <c r="I19" s="86">
        <f t="shared" si="2"/>
        <v>9.3806897670984268E-2</v>
      </c>
      <c r="J19" s="277">
        <f t="shared" si="4"/>
        <v>0.88</v>
      </c>
      <c r="K19" s="277">
        <f t="shared" si="5"/>
        <v>1.32</v>
      </c>
      <c r="L19" s="278">
        <f t="shared" si="6"/>
        <v>0</v>
      </c>
      <c r="M19" s="276">
        <f t="shared" si="7"/>
        <v>0.66</v>
      </c>
      <c r="N19" s="277">
        <f t="shared" si="8"/>
        <v>0.99</v>
      </c>
      <c r="O19" s="278">
        <f t="shared" si="9"/>
        <v>0</v>
      </c>
      <c r="P19" s="276">
        <f t="shared" si="10"/>
        <v>0.21999999999999997</v>
      </c>
      <c r="Q19" s="279">
        <f t="shared" si="11"/>
        <v>0.33000000000000007</v>
      </c>
      <c r="R19" s="278">
        <f t="shared" si="12"/>
        <v>0</v>
      </c>
      <c r="S19" s="109">
        <f t="shared" si="1"/>
        <v>149864.00000000003</v>
      </c>
      <c r="T19" s="75"/>
    </row>
    <row r="20" spans="1:20" x14ac:dyDescent="0.25">
      <c r="A20" s="299" t="s">
        <v>200</v>
      </c>
      <c r="B20" s="271" t="s">
        <v>33</v>
      </c>
      <c r="C20" s="271"/>
      <c r="D20" s="42"/>
      <c r="E20" s="35"/>
      <c r="F20" s="35"/>
      <c r="H20" s="79">
        <f t="shared" si="3"/>
        <v>2030</v>
      </c>
      <c r="I20" s="86">
        <f t="shared" si="2"/>
        <v>0.10201044940351656</v>
      </c>
      <c r="J20" s="277">
        <f t="shared" si="4"/>
        <v>0.89</v>
      </c>
      <c r="K20" s="277">
        <f t="shared" si="5"/>
        <v>1.33</v>
      </c>
      <c r="L20" s="278">
        <f t="shared" si="6"/>
        <v>0</v>
      </c>
      <c r="M20" s="276">
        <f t="shared" si="7"/>
        <v>0.67</v>
      </c>
      <c r="N20" s="277">
        <f t="shared" si="8"/>
        <v>1</v>
      </c>
      <c r="O20" s="278">
        <f t="shared" si="9"/>
        <v>0</v>
      </c>
      <c r="P20" s="276">
        <f t="shared" si="10"/>
        <v>0.21999999999999997</v>
      </c>
      <c r="Q20" s="279">
        <f t="shared" si="11"/>
        <v>0.33000000000000007</v>
      </c>
      <c r="R20" s="278">
        <f t="shared" si="12"/>
        <v>0</v>
      </c>
      <c r="S20" s="109">
        <f t="shared" si="1"/>
        <v>149864.00000000003</v>
      </c>
      <c r="T20" s="75"/>
    </row>
    <row r="21" spans="1:20" ht="15.75" thickBot="1" x14ac:dyDescent="0.3">
      <c r="A21" s="42"/>
      <c r="B21" s="42"/>
      <c r="C21" s="42"/>
      <c r="D21" s="42"/>
      <c r="E21" s="35"/>
      <c r="F21" s="35"/>
      <c r="H21" s="79">
        <f t="shared" si="3"/>
        <v>2031</v>
      </c>
      <c r="I21" s="86">
        <f t="shared" si="2"/>
        <v>0.11027552777404326</v>
      </c>
      <c r="J21" s="277">
        <f t="shared" si="4"/>
        <v>0.89</v>
      </c>
      <c r="K21" s="277">
        <f t="shared" si="5"/>
        <v>1.34</v>
      </c>
      <c r="L21" s="278">
        <f t="shared" si="6"/>
        <v>0</v>
      </c>
      <c r="M21" s="276">
        <f t="shared" si="7"/>
        <v>0.67</v>
      </c>
      <c r="N21" s="277">
        <f t="shared" si="8"/>
        <v>1.01</v>
      </c>
      <c r="O21" s="278">
        <f t="shared" si="9"/>
        <v>0</v>
      </c>
      <c r="P21" s="276">
        <f t="shared" si="10"/>
        <v>0.21999999999999997</v>
      </c>
      <c r="Q21" s="279">
        <f t="shared" si="11"/>
        <v>0.33000000000000007</v>
      </c>
      <c r="R21" s="278">
        <f t="shared" si="12"/>
        <v>0</v>
      </c>
      <c r="S21" s="109">
        <f t="shared" si="1"/>
        <v>149864.00000000003</v>
      </c>
      <c r="T21" s="75"/>
    </row>
    <row r="22" spans="1:20" ht="18" thickBot="1" x14ac:dyDescent="0.3">
      <c r="A22" s="549" t="s">
        <v>201</v>
      </c>
      <c r="B22" s="550"/>
      <c r="C22" s="557"/>
      <c r="D22" s="35"/>
      <c r="E22" s="35"/>
      <c r="F22" s="35"/>
      <c r="H22" s="79">
        <f t="shared" si="3"/>
        <v>2032</v>
      </c>
      <c r="I22" s="86">
        <f t="shared" si="2"/>
        <v>0.11860259423234876</v>
      </c>
      <c r="J22" s="277">
        <f t="shared" si="4"/>
        <v>0.9</v>
      </c>
      <c r="K22" s="277">
        <f t="shared" si="5"/>
        <v>1.35</v>
      </c>
      <c r="L22" s="278">
        <f t="shared" si="6"/>
        <v>0</v>
      </c>
      <c r="M22" s="276">
        <f t="shared" si="7"/>
        <v>0.68</v>
      </c>
      <c r="N22" s="277">
        <f t="shared" si="8"/>
        <v>1.02</v>
      </c>
      <c r="O22" s="278">
        <f t="shared" si="9"/>
        <v>0</v>
      </c>
      <c r="P22" s="276">
        <f t="shared" si="10"/>
        <v>0.21999999999999997</v>
      </c>
      <c r="Q22" s="279">
        <f t="shared" si="11"/>
        <v>0.33000000000000007</v>
      </c>
      <c r="R22" s="278">
        <f t="shared" si="12"/>
        <v>0</v>
      </c>
      <c r="S22" s="109">
        <f t="shared" si="1"/>
        <v>149864.00000000003</v>
      </c>
      <c r="T22" s="75"/>
    </row>
    <row r="23" spans="1:20" ht="15.75" thickBot="1" x14ac:dyDescent="0.3">
      <c r="A23" s="549" t="s">
        <v>35</v>
      </c>
      <c r="B23" s="550"/>
      <c r="C23" s="118">
        <v>0.75</v>
      </c>
      <c r="D23" s="35"/>
      <c r="E23" s="35"/>
      <c r="F23" s="35"/>
      <c r="H23" s="79">
        <f t="shared" si="3"/>
        <v>2033</v>
      </c>
      <c r="I23" s="86">
        <f t="shared" si="2"/>
        <v>0.12699211368909125</v>
      </c>
      <c r="J23" s="277">
        <f t="shared" si="4"/>
        <v>0.91</v>
      </c>
      <c r="K23" s="277">
        <f t="shared" si="5"/>
        <v>1.36</v>
      </c>
      <c r="L23" s="278">
        <f t="shared" si="6"/>
        <v>0</v>
      </c>
      <c r="M23" s="276">
        <f t="shared" si="7"/>
        <v>0.69000000000000006</v>
      </c>
      <c r="N23" s="277">
        <f t="shared" si="8"/>
        <v>1.02</v>
      </c>
      <c r="O23" s="278">
        <f t="shared" si="9"/>
        <v>0</v>
      </c>
      <c r="P23" s="276">
        <f>ABS(J23-M23)</f>
        <v>0.21999999999999997</v>
      </c>
      <c r="Q23" s="279">
        <f>ABS(K23-N23)</f>
        <v>0.34000000000000008</v>
      </c>
      <c r="R23" s="278">
        <f>ABS(L23-O23)</f>
        <v>0</v>
      </c>
      <c r="S23" s="109">
        <f t="shared" si="1"/>
        <v>154376.00000000003</v>
      </c>
      <c r="T23" s="75"/>
    </row>
    <row r="24" spans="1:20" ht="15" customHeight="1" x14ac:dyDescent="0.25">
      <c r="A24" s="35"/>
      <c r="B24" s="35"/>
      <c r="C24" s="35"/>
      <c r="D24" s="35"/>
      <c r="E24" s="35"/>
      <c r="F24" s="35"/>
      <c r="H24" s="79">
        <f t="shared" si="3"/>
        <v>2034</v>
      </c>
      <c r="I24" s="86">
        <f t="shared" si="2"/>
        <v>0.13544455454175952</v>
      </c>
      <c r="J24" s="277">
        <f t="shared" si="4"/>
        <v>0.91</v>
      </c>
      <c r="K24" s="277">
        <f t="shared" si="5"/>
        <v>1.37</v>
      </c>
      <c r="L24" s="278">
        <f t="shared" si="6"/>
        <v>0</v>
      </c>
      <c r="M24" s="276">
        <f t="shared" si="7"/>
        <v>0.69000000000000006</v>
      </c>
      <c r="N24" s="277">
        <f t="shared" si="8"/>
        <v>1.03</v>
      </c>
      <c r="O24" s="278">
        <f t="shared" si="9"/>
        <v>0</v>
      </c>
      <c r="P24" s="276">
        <f t="shared" ref="P24:R43" si="13">ABS(J24-M24)</f>
        <v>0.21999999999999997</v>
      </c>
      <c r="Q24" s="279">
        <f t="shared" si="13"/>
        <v>0.34000000000000008</v>
      </c>
      <c r="R24" s="278">
        <f t="shared" si="13"/>
        <v>0</v>
      </c>
      <c r="S24" s="109">
        <f t="shared" si="1"/>
        <v>154376.00000000003</v>
      </c>
      <c r="T24" s="75"/>
    </row>
    <row r="25" spans="1:20" ht="15" customHeight="1" x14ac:dyDescent="0.25">
      <c r="A25" s="551" t="s">
        <v>203</v>
      </c>
      <c r="B25" s="551"/>
      <c r="C25" s="551"/>
      <c r="D25" s="551"/>
      <c r="E25" s="551"/>
      <c r="F25" s="551"/>
      <c r="H25" s="79">
        <f t="shared" si="3"/>
        <v>2035</v>
      </c>
      <c r="I25" s="86">
        <f t="shared" si="2"/>
        <v>0.14396038870082295</v>
      </c>
      <c r="J25" s="277">
        <f t="shared" si="4"/>
        <v>0.92</v>
      </c>
      <c r="K25" s="277">
        <f t="shared" si="5"/>
        <v>1.3800000000000001</v>
      </c>
      <c r="L25" s="278">
        <f t="shared" si="6"/>
        <v>0</v>
      </c>
      <c r="M25" s="276">
        <f t="shared" si="7"/>
        <v>0.69</v>
      </c>
      <c r="N25" s="277">
        <f t="shared" si="8"/>
        <v>1.04</v>
      </c>
      <c r="O25" s="278">
        <f t="shared" si="9"/>
        <v>0</v>
      </c>
      <c r="P25" s="276">
        <f t="shared" si="13"/>
        <v>0.23000000000000009</v>
      </c>
      <c r="Q25" s="279">
        <f t="shared" si="13"/>
        <v>0.34000000000000008</v>
      </c>
      <c r="R25" s="278">
        <f t="shared" si="13"/>
        <v>0</v>
      </c>
      <c r="S25" s="109">
        <f t="shared" si="1"/>
        <v>154420.00000000003</v>
      </c>
      <c r="T25" s="75"/>
    </row>
    <row r="26" spans="1:20" x14ac:dyDescent="0.25">
      <c r="E26" s="35"/>
      <c r="F26" s="35"/>
      <c r="H26" s="79">
        <f t="shared" si="3"/>
        <v>2036</v>
      </c>
      <c r="I26" s="86">
        <f t="shared" si="2"/>
        <v>0.15254009161607907</v>
      </c>
      <c r="J26" s="277">
        <f t="shared" si="4"/>
        <v>0.93</v>
      </c>
      <c r="K26" s="277">
        <f t="shared" si="5"/>
        <v>1.39</v>
      </c>
      <c r="L26" s="278">
        <f t="shared" si="6"/>
        <v>0</v>
      </c>
      <c r="M26" s="276">
        <f t="shared" si="7"/>
        <v>0.7</v>
      </c>
      <c r="N26" s="277">
        <f t="shared" si="8"/>
        <v>1.05</v>
      </c>
      <c r="O26" s="278">
        <f t="shared" si="9"/>
        <v>0</v>
      </c>
      <c r="P26" s="276">
        <f t="shared" si="13"/>
        <v>0.23000000000000009</v>
      </c>
      <c r="Q26" s="279">
        <f t="shared" si="13"/>
        <v>0.33999999999999986</v>
      </c>
      <c r="R26" s="278">
        <f t="shared" si="13"/>
        <v>0</v>
      </c>
      <c r="S26" s="109">
        <f t="shared" si="1"/>
        <v>154419.99999999994</v>
      </c>
      <c r="T26" s="75"/>
    </row>
    <row r="27" spans="1:20" x14ac:dyDescent="0.25">
      <c r="E27" s="35"/>
      <c r="F27" s="35"/>
      <c r="H27" s="79">
        <f t="shared" si="3"/>
        <v>2037</v>
      </c>
      <c r="I27" s="86">
        <f t="shared" si="2"/>
        <v>0.16118414230319988</v>
      </c>
      <c r="J27" s="277">
        <f t="shared" si="4"/>
        <v>0.93</v>
      </c>
      <c r="K27" s="277">
        <f t="shared" si="5"/>
        <v>1.4</v>
      </c>
      <c r="L27" s="278">
        <f t="shared" si="6"/>
        <v>0</v>
      </c>
      <c r="M27" s="276">
        <f t="shared" si="7"/>
        <v>0.7</v>
      </c>
      <c r="N27" s="277">
        <f t="shared" si="8"/>
        <v>1.05</v>
      </c>
      <c r="O27" s="278">
        <f t="shared" si="9"/>
        <v>0</v>
      </c>
      <c r="P27" s="276">
        <f t="shared" si="13"/>
        <v>0.23000000000000009</v>
      </c>
      <c r="Q27" s="279">
        <f t="shared" si="13"/>
        <v>0.34999999999999987</v>
      </c>
      <c r="R27" s="278">
        <f t="shared" si="13"/>
        <v>0</v>
      </c>
      <c r="S27" s="109">
        <f t="shared" si="1"/>
        <v>158931.99999999994</v>
      </c>
      <c r="T27" s="75"/>
    </row>
    <row r="28" spans="1:20" x14ac:dyDescent="0.25">
      <c r="D28" s="35"/>
      <c r="E28" s="35"/>
      <c r="H28" s="79">
        <f t="shared" si="3"/>
        <v>2038</v>
      </c>
      <c r="I28" s="86">
        <f t="shared" si="2"/>
        <v>0.16989302337047385</v>
      </c>
      <c r="J28" s="277">
        <f t="shared" si="4"/>
        <v>0.94000000000000006</v>
      </c>
      <c r="K28" s="277">
        <f t="shared" si="5"/>
        <v>1.41</v>
      </c>
      <c r="L28" s="278">
        <f t="shared" si="6"/>
        <v>0</v>
      </c>
      <c r="M28" s="276">
        <f t="shared" si="7"/>
        <v>0.71</v>
      </c>
      <c r="N28" s="277">
        <f t="shared" si="8"/>
        <v>1.06</v>
      </c>
      <c r="O28" s="278">
        <f t="shared" si="9"/>
        <v>0</v>
      </c>
      <c r="P28" s="276">
        <f t="shared" si="13"/>
        <v>0.23000000000000009</v>
      </c>
      <c r="Q28" s="279">
        <f t="shared" si="13"/>
        <v>0.34999999999999987</v>
      </c>
      <c r="R28" s="278">
        <f t="shared" si="13"/>
        <v>0</v>
      </c>
      <c r="S28" s="109">
        <f t="shared" si="1"/>
        <v>158931.99999999994</v>
      </c>
      <c r="T28" s="75"/>
    </row>
    <row r="29" spans="1:20" x14ac:dyDescent="0.25">
      <c r="D29" s="35"/>
      <c r="E29" s="35"/>
      <c r="H29" s="79">
        <f t="shared" si="3"/>
        <v>2039</v>
      </c>
      <c r="I29" s="86">
        <f t="shared" si="2"/>
        <v>0.17866722104575272</v>
      </c>
      <c r="J29" s="277">
        <f t="shared" si="4"/>
        <v>0.95</v>
      </c>
      <c r="K29" s="277">
        <f t="shared" si="5"/>
        <v>1.42</v>
      </c>
      <c r="L29" s="278">
        <f t="shared" si="6"/>
        <v>0</v>
      </c>
      <c r="M29" s="276">
        <f t="shared" si="7"/>
        <v>0.72</v>
      </c>
      <c r="N29" s="277">
        <f t="shared" si="8"/>
        <v>1.07</v>
      </c>
      <c r="O29" s="278">
        <f t="shared" si="9"/>
        <v>0</v>
      </c>
      <c r="P29" s="276">
        <f t="shared" si="13"/>
        <v>0.22999999999999998</v>
      </c>
      <c r="Q29" s="279">
        <f t="shared" si="13"/>
        <v>0.34999999999999987</v>
      </c>
      <c r="R29" s="278">
        <f t="shared" si="13"/>
        <v>0</v>
      </c>
      <c r="S29" s="109">
        <f t="shared" si="1"/>
        <v>158931.99999999994</v>
      </c>
      <c r="T29" s="75"/>
    </row>
    <row r="30" spans="1:20" x14ac:dyDescent="0.25">
      <c r="D30" s="35"/>
      <c r="E30" s="35"/>
      <c r="H30" s="79">
        <f t="shared" si="3"/>
        <v>2040</v>
      </c>
      <c r="I30" s="86">
        <f t="shared" si="2"/>
        <v>0.18750722520359586</v>
      </c>
      <c r="J30" s="277">
        <f t="shared" si="4"/>
        <v>0.96</v>
      </c>
      <c r="K30" s="277">
        <f t="shared" si="5"/>
        <v>1.43</v>
      </c>
      <c r="L30" s="278">
        <f t="shared" si="6"/>
        <v>0</v>
      </c>
      <c r="M30" s="276">
        <f t="shared" si="7"/>
        <v>0.72</v>
      </c>
      <c r="N30" s="277">
        <f t="shared" si="8"/>
        <v>1.08</v>
      </c>
      <c r="O30" s="278">
        <f t="shared" si="9"/>
        <v>0</v>
      </c>
      <c r="P30" s="276">
        <f t="shared" si="13"/>
        <v>0.24</v>
      </c>
      <c r="Q30" s="279">
        <f t="shared" si="13"/>
        <v>0.34999999999999987</v>
      </c>
      <c r="R30" s="278">
        <f t="shared" si="13"/>
        <v>0</v>
      </c>
      <c r="S30" s="109">
        <f t="shared" si="1"/>
        <v>158975.99999999994</v>
      </c>
      <c r="T30" s="75"/>
    </row>
    <row r="31" spans="1:20" ht="15" customHeight="1" x14ac:dyDescent="0.25">
      <c r="D31" s="35"/>
      <c r="E31" s="35"/>
      <c r="G31" s="35"/>
      <c r="H31" s="79">
        <f t="shared" si="3"/>
        <v>2041</v>
      </c>
      <c r="I31" s="86">
        <f t="shared" si="2"/>
        <v>0.1964135293926228</v>
      </c>
      <c r="J31" s="277">
        <f t="shared" si="4"/>
        <v>0.96</v>
      </c>
      <c r="K31" s="277">
        <f t="shared" si="5"/>
        <v>1.44</v>
      </c>
      <c r="L31" s="278">
        <f t="shared" si="6"/>
        <v>0</v>
      </c>
      <c r="M31" s="276">
        <f t="shared" si="7"/>
        <v>0.72</v>
      </c>
      <c r="N31" s="277">
        <f t="shared" si="8"/>
        <v>1.08</v>
      </c>
      <c r="O31" s="278">
        <f t="shared" si="9"/>
        <v>0</v>
      </c>
      <c r="P31" s="276">
        <f t="shared" si="13"/>
        <v>0.24</v>
      </c>
      <c r="Q31" s="279">
        <f t="shared" si="13"/>
        <v>0.35999999999999988</v>
      </c>
      <c r="R31" s="278">
        <f t="shared" si="13"/>
        <v>0</v>
      </c>
      <c r="S31" s="109">
        <f t="shared" si="1"/>
        <v>163487.99999999994</v>
      </c>
      <c r="T31" s="75"/>
    </row>
    <row r="32" spans="1:20" x14ac:dyDescent="0.25">
      <c r="G32" s="35"/>
      <c r="H32" s="79">
        <f t="shared" si="3"/>
        <v>2042</v>
      </c>
      <c r="I32" s="86">
        <f t="shared" si="2"/>
        <v>0.20538663086306763</v>
      </c>
      <c r="J32" s="277">
        <f t="shared" si="4"/>
        <v>0.97</v>
      </c>
      <c r="K32" s="277">
        <f t="shared" si="5"/>
        <v>1.45</v>
      </c>
      <c r="L32" s="278">
        <f t="shared" si="6"/>
        <v>0</v>
      </c>
      <c r="M32" s="276">
        <f t="shared" si="7"/>
        <v>0.73</v>
      </c>
      <c r="N32" s="277">
        <f t="shared" si="8"/>
        <v>1.0900000000000001</v>
      </c>
      <c r="O32" s="278">
        <f t="shared" si="9"/>
        <v>0</v>
      </c>
      <c r="P32" s="276">
        <f t="shared" si="13"/>
        <v>0.24</v>
      </c>
      <c r="Q32" s="279">
        <f t="shared" si="13"/>
        <v>0.35999999999999988</v>
      </c>
      <c r="R32" s="278">
        <f t="shared" si="13"/>
        <v>0</v>
      </c>
      <c r="S32" s="109">
        <f t="shared" si="1"/>
        <v>163487.99999999994</v>
      </c>
      <c r="T32" s="75"/>
    </row>
    <row r="33" spans="1:26" x14ac:dyDescent="0.25">
      <c r="G33" s="35"/>
      <c r="H33" s="79">
        <f t="shared" si="3"/>
        <v>2043</v>
      </c>
      <c r="I33" s="86">
        <f t="shared" si="2"/>
        <v>0.21442703059454082</v>
      </c>
      <c r="J33" s="277">
        <f t="shared" si="4"/>
        <v>0.98</v>
      </c>
      <c r="K33" s="277">
        <f t="shared" si="5"/>
        <v>1.46</v>
      </c>
      <c r="L33" s="278">
        <f t="shared" si="6"/>
        <v>0</v>
      </c>
      <c r="M33" s="276">
        <f t="shared" si="7"/>
        <v>0.74</v>
      </c>
      <c r="N33" s="277">
        <f t="shared" si="8"/>
        <v>1.1000000000000001</v>
      </c>
      <c r="O33" s="278">
        <f t="shared" si="9"/>
        <v>0</v>
      </c>
      <c r="P33" s="276">
        <f t="shared" si="13"/>
        <v>0.24</v>
      </c>
      <c r="Q33" s="279">
        <f t="shared" si="13"/>
        <v>0.35999999999999988</v>
      </c>
      <c r="R33" s="278">
        <f t="shared" si="13"/>
        <v>0</v>
      </c>
      <c r="S33" s="109">
        <f t="shared" si="1"/>
        <v>163487.99999999994</v>
      </c>
      <c r="T33" s="75"/>
    </row>
    <row r="34" spans="1:26" x14ac:dyDescent="0.25">
      <c r="G34" s="35"/>
      <c r="H34" s="79">
        <f t="shared" si="3"/>
        <v>2044</v>
      </c>
      <c r="I34" s="86">
        <f t="shared" si="2"/>
        <v>0.22353523332399994</v>
      </c>
      <c r="J34" s="277">
        <f t="shared" si="4"/>
        <v>0.98</v>
      </c>
      <c r="K34" s="277">
        <f t="shared" si="5"/>
        <v>1.47</v>
      </c>
      <c r="L34" s="278">
        <f t="shared" si="6"/>
        <v>0</v>
      </c>
      <c r="M34" s="276">
        <f t="shared" si="7"/>
        <v>0.74</v>
      </c>
      <c r="N34" s="277">
        <f t="shared" si="8"/>
        <v>1.1100000000000001</v>
      </c>
      <c r="O34" s="278">
        <f t="shared" si="9"/>
        <v>0</v>
      </c>
      <c r="P34" s="276">
        <f t="shared" si="13"/>
        <v>0.24</v>
      </c>
      <c r="Q34" s="279">
        <f t="shared" si="13"/>
        <v>0.35999999999999988</v>
      </c>
      <c r="R34" s="278">
        <f t="shared" si="13"/>
        <v>0</v>
      </c>
      <c r="S34" s="109">
        <f t="shared" si="1"/>
        <v>163487.99999999994</v>
      </c>
      <c r="T34" s="75"/>
    </row>
    <row r="35" spans="1:26" x14ac:dyDescent="0.25">
      <c r="G35" s="35"/>
      <c r="H35" s="79">
        <f t="shared" si="3"/>
        <v>2045</v>
      </c>
      <c r="I35" s="86">
        <f t="shared" si="2"/>
        <v>0.23271174757393021</v>
      </c>
      <c r="J35" s="277">
        <f t="shared" si="4"/>
        <v>0.99</v>
      </c>
      <c r="K35" s="277">
        <f t="shared" si="5"/>
        <v>1.48</v>
      </c>
      <c r="L35" s="278">
        <f t="shared" si="6"/>
        <v>0</v>
      </c>
      <c r="M35" s="276">
        <f t="shared" si="7"/>
        <v>0.75</v>
      </c>
      <c r="N35" s="277">
        <f t="shared" si="8"/>
        <v>1.1100000000000001</v>
      </c>
      <c r="O35" s="278">
        <f t="shared" si="9"/>
        <v>0</v>
      </c>
      <c r="P35" s="276">
        <f t="shared" si="13"/>
        <v>0.24</v>
      </c>
      <c r="Q35" s="279">
        <f t="shared" si="13"/>
        <v>0.36999999999999988</v>
      </c>
      <c r="R35" s="278">
        <f t="shared" si="13"/>
        <v>0</v>
      </c>
      <c r="S35" s="109">
        <f t="shared" si="1"/>
        <v>167999.99999999994</v>
      </c>
      <c r="T35" s="75"/>
    </row>
    <row r="36" spans="1:26" ht="15" customHeight="1" x14ac:dyDescent="0.25">
      <c r="G36" s="35"/>
      <c r="H36" s="79">
        <f t="shared" si="3"/>
        <v>2046</v>
      </c>
      <c r="I36" s="86">
        <f t="shared" si="2"/>
        <v>0.24195708568073448</v>
      </c>
      <c r="J36" s="277">
        <f t="shared" si="4"/>
        <v>1</v>
      </c>
      <c r="K36" s="277">
        <f t="shared" si="5"/>
        <v>1.5</v>
      </c>
      <c r="L36" s="278">
        <f t="shared" si="6"/>
        <v>0</v>
      </c>
      <c r="M36" s="276">
        <f t="shared" si="7"/>
        <v>0.75</v>
      </c>
      <c r="N36" s="277">
        <f t="shared" si="8"/>
        <v>1.1300000000000001</v>
      </c>
      <c r="O36" s="278">
        <f t="shared" si="9"/>
        <v>0</v>
      </c>
      <c r="P36" s="276">
        <f t="shared" si="13"/>
        <v>0.25</v>
      </c>
      <c r="Q36" s="279">
        <f t="shared" si="13"/>
        <v>0.36999999999999988</v>
      </c>
      <c r="R36" s="278">
        <f t="shared" si="13"/>
        <v>0</v>
      </c>
      <c r="S36" s="109">
        <f t="shared" si="1"/>
        <v>168043.99999999994</v>
      </c>
      <c r="T36" s="75"/>
    </row>
    <row r="37" spans="1:26" x14ac:dyDescent="0.25">
      <c r="G37" s="35"/>
      <c r="H37" s="79">
        <f t="shared" si="3"/>
        <v>2047</v>
      </c>
      <c r="I37" s="86">
        <f t="shared" si="2"/>
        <v>0.25127176382334038</v>
      </c>
      <c r="J37" s="277">
        <f t="shared" si="4"/>
        <v>1.01</v>
      </c>
      <c r="K37" s="277">
        <f t="shared" si="5"/>
        <v>1.51</v>
      </c>
      <c r="L37" s="278">
        <f t="shared" si="6"/>
        <v>0</v>
      </c>
      <c r="M37" s="276">
        <f t="shared" si="7"/>
        <v>0.76</v>
      </c>
      <c r="N37" s="277">
        <f t="shared" si="8"/>
        <v>1.1399999999999999</v>
      </c>
      <c r="O37" s="278">
        <f t="shared" si="9"/>
        <v>0</v>
      </c>
      <c r="P37" s="276">
        <f t="shared" si="13"/>
        <v>0.25</v>
      </c>
      <c r="Q37" s="279">
        <f t="shared" si="13"/>
        <v>0.37000000000000011</v>
      </c>
      <c r="R37" s="278">
        <f t="shared" si="13"/>
        <v>0</v>
      </c>
      <c r="S37" s="112">
        <f t="shared" si="1"/>
        <v>168044.00000000006</v>
      </c>
      <c r="T37" s="75"/>
    </row>
    <row r="38" spans="1:26" x14ac:dyDescent="0.25">
      <c r="G38" s="35"/>
      <c r="H38" s="79">
        <f t="shared" si="3"/>
        <v>2048</v>
      </c>
      <c r="I38" s="86">
        <f t="shared" si="2"/>
        <v>0.26065630205201562</v>
      </c>
      <c r="J38" s="277">
        <f t="shared" si="4"/>
        <v>1.01</v>
      </c>
      <c r="K38" s="277">
        <f t="shared" si="5"/>
        <v>1.52</v>
      </c>
      <c r="L38" s="278">
        <f t="shared" si="6"/>
        <v>0</v>
      </c>
      <c r="M38" s="276">
        <f t="shared" si="7"/>
        <v>0.76</v>
      </c>
      <c r="N38" s="277">
        <f t="shared" si="8"/>
        <v>1.1399999999999999</v>
      </c>
      <c r="O38" s="278">
        <f t="shared" si="9"/>
        <v>0</v>
      </c>
      <c r="P38" s="276">
        <f t="shared" si="13"/>
        <v>0.25</v>
      </c>
      <c r="Q38" s="279">
        <f t="shared" si="13"/>
        <v>0.38000000000000012</v>
      </c>
      <c r="R38" s="278">
        <f t="shared" si="13"/>
        <v>0</v>
      </c>
      <c r="S38" s="113">
        <f t="shared" si="1"/>
        <v>172556.00000000006</v>
      </c>
      <c r="T38" s="75"/>
    </row>
    <row r="39" spans="1:26" x14ac:dyDescent="0.25">
      <c r="A39" s="44"/>
      <c r="B39" s="44"/>
      <c r="C39" s="44"/>
      <c r="G39" s="35"/>
      <c r="H39" s="79">
        <f t="shared" si="3"/>
        <v>2049</v>
      </c>
      <c r="I39" s="86">
        <f t="shared" si="2"/>
        <v>0.27011122431740553</v>
      </c>
      <c r="J39" s="277">
        <f t="shared" si="4"/>
        <v>1.02</v>
      </c>
      <c r="K39" s="277">
        <f t="shared" si="5"/>
        <v>1.53</v>
      </c>
      <c r="L39" s="278">
        <f t="shared" si="6"/>
        <v>0</v>
      </c>
      <c r="M39" s="276">
        <f t="shared" si="7"/>
        <v>0.77</v>
      </c>
      <c r="N39" s="277">
        <f t="shared" si="8"/>
        <v>1.1499999999999999</v>
      </c>
      <c r="O39" s="278">
        <f t="shared" si="9"/>
        <v>0</v>
      </c>
      <c r="P39" s="276">
        <f t="shared" si="13"/>
        <v>0.25</v>
      </c>
      <c r="Q39" s="279">
        <f t="shared" si="13"/>
        <v>0.38000000000000012</v>
      </c>
      <c r="R39" s="278">
        <f t="shared" si="13"/>
        <v>0</v>
      </c>
      <c r="S39" s="109">
        <f t="shared" si="1"/>
        <v>172556.00000000006</v>
      </c>
      <c r="T39" s="75"/>
    </row>
    <row r="40" spans="1:26" x14ac:dyDescent="0.25">
      <c r="A40" s="126"/>
      <c r="B40" s="126"/>
      <c r="C40" s="126"/>
      <c r="G40" s="35"/>
      <c r="H40" s="79">
        <f t="shared" si="3"/>
        <v>2050</v>
      </c>
      <c r="I40" s="86">
        <f t="shared" si="2"/>
        <v>0.27963705849978604</v>
      </c>
      <c r="J40" s="277">
        <f t="shared" si="4"/>
        <v>1.03</v>
      </c>
      <c r="K40" s="277">
        <f t="shared" si="5"/>
        <v>1.54</v>
      </c>
      <c r="L40" s="278">
        <f t="shared" si="6"/>
        <v>0</v>
      </c>
      <c r="M40" s="276">
        <f t="shared" si="7"/>
        <v>0.78</v>
      </c>
      <c r="N40" s="277">
        <f t="shared" si="8"/>
        <v>1.1599999999999999</v>
      </c>
      <c r="O40" s="278">
        <f t="shared" si="9"/>
        <v>0</v>
      </c>
      <c r="P40" s="276">
        <f t="shared" si="13"/>
        <v>0.25</v>
      </c>
      <c r="Q40" s="279">
        <f t="shared" si="13"/>
        <v>0.38000000000000012</v>
      </c>
      <c r="R40" s="278">
        <f t="shared" si="13"/>
        <v>0</v>
      </c>
      <c r="S40" s="109">
        <f t="shared" si="1"/>
        <v>172556.00000000006</v>
      </c>
      <c r="T40" s="75"/>
    </row>
    <row r="41" spans="1:26" ht="15.75" customHeight="1" x14ac:dyDescent="0.35">
      <c r="A41" s="35" t="s">
        <v>111</v>
      </c>
      <c r="B41" s="13"/>
      <c r="C41" s="13"/>
      <c r="G41" s="35"/>
      <c r="H41" s="79">
        <f t="shared" si="3"/>
        <v>2051</v>
      </c>
      <c r="I41" s="86">
        <f t="shared" si="2"/>
        <v>0.2892343364385348</v>
      </c>
      <c r="J41" s="277">
        <f t="shared" si="4"/>
        <v>1.04</v>
      </c>
      <c r="K41" s="277">
        <f t="shared" si="5"/>
        <v>1.55</v>
      </c>
      <c r="L41" s="278">
        <f t="shared" si="6"/>
        <v>0</v>
      </c>
      <c r="M41" s="276">
        <f t="shared" si="7"/>
        <v>0.78</v>
      </c>
      <c r="N41" s="277">
        <f t="shared" si="8"/>
        <v>1.17</v>
      </c>
      <c r="O41" s="278">
        <f t="shared" si="9"/>
        <v>0</v>
      </c>
      <c r="P41" s="276">
        <f t="shared" si="13"/>
        <v>0.26</v>
      </c>
      <c r="Q41" s="279">
        <f t="shared" si="13"/>
        <v>0.38000000000000012</v>
      </c>
      <c r="R41" s="278">
        <f t="shared" si="13"/>
        <v>0</v>
      </c>
      <c r="S41" s="109">
        <f t="shared" si="1"/>
        <v>172600.00000000006</v>
      </c>
      <c r="T41" s="94"/>
      <c r="U41" s="94"/>
      <c r="V41" s="94"/>
      <c r="W41" s="94"/>
      <c r="X41" s="94"/>
      <c r="Y41" s="94"/>
      <c r="Z41" s="94"/>
    </row>
    <row r="42" spans="1:26" x14ac:dyDescent="0.25">
      <c r="A42" s="191" t="s">
        <v>36</v>
      </c>
      <c r="B42" s="300" t="s">
        <v>112</v>
      </c>
      <c r="C42" s="189">
        <v>7.4999999999999997E-3</v>
      </c>
      <c r="D42" s="267" t="s">
        <v>113</v>
      </c>
      <c r="G42" s="35"/>
      <c r="H42" s="79">
        <f t="shared" si="3"/>
        <v>2052</v>
      </c>
      <c r="I42" s="86">
        <f t="shared" si="2"/>
        <v>0.29890359396182387</v>
      </c>
      <c r="J42" s="277">
        <f t="shared" si="4"/>
        <v>1.04</v>
      </c>
      <c r="K42" s="277">
        <f t="shared" si="5"/>
        <v>1.56</v>
      </c>
      <c r="L42" s="278">
        <f t="shared" si="6"/>
        <v>0</v>
      </c>
      <c r="M42" s="276">
        <f t="shared" si="7"/>
        <v>0.78</v>
      </c>
      <c r="N42" s="277">
        <f t="shared" si="8"/>
        <v>1.17</v>
      </c>
      <c r="O42" s="278">
        <f t="shared" si="9"/>
        <v>0</v>
      </c>
      <c r="P42" s="276">
        <f t="shared" si="13"/>
        <v>0.26</v>
      </c>
      <c r="Q42" s="279">
        <f t="shared" si="13"/>
        <v>0.39000000000000012</v>
      </c>
      <c r="R42" s="278">
        <f t="shared" si="13"/>
        <v>0</v>
      </c>
      <c r="S42" s="109">
        <f t="shared" si="1"/>
        <v>177112.00000000006</v>
      </c>
      <c r="T42" s="94"/>
      <c r="U42" s="94"/>
      <c r="V42" s="94"/>
      <c r="W42" s="94"/>
      <c r="X42" s="94"/>
      <c r="Y42" s="94"/>
      <c r="Z42" s="94"/>
    </row>
    <row r="43" spans="1:26" x14ac:dyDescent="0.25">
      <c r="A43" s="192" t="s">
        <v>37</v>
      </c>
      <c r="B43" s="267" t="s">
        <v>116</v>
      </c>
      <c r="G43" s="35"/>
      <c r="H43" s="79">
        <f t="shared" si="3"/>
        <v>2053</v>
      </c>
      <c r="I43" s="86">
        <f t="shared" si="2"/>
        <v>0.30864537091653754</v>
      </c>
      <c r="J43" s="277">
        <f t="shared" si="4"/>
        <v>1.05</v>
      </c>
      <c r="K43" s="277">
        <f t="shared" si="5"/>
        <v>1.58</v>
      </c>
      <c r="L43" s="278">
        <f t="shared" si="6"/>
        <v>0</v>
      </c>
      <c r="M43" s="276">
        <f t="shared" si="7"/>
        <v>0.79</v>
      </c>
      <c r="N43" s="277">
        <f t="shared" si="8"/>
        <v>1.19</v>
      </c>
      <c r="O43" s="278">
        <f t="shared" si="9"/>
        <v>0</v>
      </c>
      <c r="P43" s="276">
        <f t="shared" si="13"/>
        <v>0.26</v>
      </c>
      <c r="Q43" s="279">
        <f t="shared" si="13"/>
        <v>0.39000000000000012</v>
      </c>
      <c r="R43" s="278">
        <f t="shared" si="13"/>
        <v>0</v>
      </c>
      <c r="S43" s="109">
        <f t="shared" si="1"/>
        <v>177112.00000000006</v>
      </c>
      <c r="T43" s="94"/>
      <c r="U43" s="94"/>
      <c r="V43" s="94"/>
      <c r="W43" s="94"/>
      <c r="X43" s="94"/>
      <c r="Y43" s="94"/>
      <c r="Z43" s="94"/>
    </row>
    <row r="44" spans="1:26" x14ac:dyDescent="0.25">
      <c r="A44" s="9"/>
      <c r="B44" s="43"/>
      <c r="C44" s="43"/>
      <c r="G44" s="37"/>
      <c r="H44" s="79">
        <f t="shared" si="3"/>
        <v>2054</v>
      </c>
      <c r="I44" s="86">
        <f t="shared" ref="I44:I47" si="14">((1+$C$42)^(H44-$H$7))-1</f>
        <v>0.31846021119841161</v>
      </c>
      <c r="J44" s="277">
        <f t="shared" ref="J44:J47" si="15">ROUNDUP($J$7*(1+I44),2)</f>
        <v>1.06</v>
      </c>
      <c r="K44" s="277">
        <f t="shared" ref="K44:K47" si="16">ROUNDUP($K$7*(1+I44),2)</f>
        <v>1.59</v>
      </c>
      <c r="L44" s="278">
        <f t="shared" ref="L44:L47" si="17">ROUNDUP($L$7*(1+I44),2)</f>
        <v>0</v>
      </c>
      <c r="M44" s="276">
        <f t="shared" ref="M44:M47" si="18">ROUNDUP(J44*$C$23,2)</f>
        <v>0.8</v>
      </c>
      <c r="N44" s="277">
        <f t="shared" ref="N44:N47" si="19">ROUNDUP(K44*$C$23,2)</f>
        <v>1.2</v>
      </c>
      <c r="O44" s="278">
        <f t="shared" ref="O44:O47" si="20">ROUNDUP(L44*$C$23,2)</f>
        <v>0</v>
      </c>
      <c r="P44" s="276">
        <f t="shared" ref="P44:P47" si="21">ABS(J44-M44)</f>
        <v>0.26</v>
      </c>
      <c r="Q44" s="279">
        <f t="shared" ref="Q44:Q47" si="22">ABS(K44-N44)</f>
        <v>0.39000000000000012</v>
      </c>
      <c r="R44" s="278">
        <f t="shared" ref="R44:R47" si="23">ABS(L44-O44)</f>
        <v>0</v>
      </c>
      <c r="S44" s="109">
        <f t="shared" ref="S44:S47" si="24">((P44*$B$5)+(Q44*$B$6)+(R44*$B$7))</f>
        <v>177112.00000000006</v>
      </c>
      <c r="T44" s="75"/>
    </row>
    <row r="45" spans="1:26" ht="15" customHeight="1" x14ac:dyDescent="0.25">
      <c r="A45" s="43"/>
      <c r="B45" s="43"/>
      <c r="C45" s="43"/>
      <c r="G45" s="37"/>
      <c r="H45" s="79">
        <f t="shared" si="3"/>
        <v>2055</v>
      </c>
      <c r="I45" s="86">
        <f t="shared" si="14"/>
        <v>0.32834866278239994</v>
      </c>
      <c r="J45" s="277">
        <f t="shared" si="15"/>
        <v>1.07</v>
      </c>
      <c r="K45" s="277">
        <f t="shared" si="16"/>
        <v>1.6</v>
      </c>
      <c r="L45" s="278">
        <f t="shared" si="17"/>
        <v>0</v>
      </c>
      <c r="M45" s="276">
        <f t="shared" si="18"/>
        <v>0.81</v>
      </c>
      <c r="N45" s="277">
        <f t="shared" si="19"/>
        <v>1.2</v>
      </c>
      <c r="O45" s="278">
        <f t="shared" si="20"/>
        <v>0</v>
      </c>
      <c r="P45" s="276">
        <f t="shared" si="21"/>
        <v>0.26</v>
      </c>
      <c r="Q45" s="279">
        <f t="shared" si="22"/>
        <v>0.40000000000000013</v>
      </c>
      <c r="R45" s="278">
        <f t="shared" si="23"/>
        <v>0</v>
      </c>
      <c r="S45" s="109">
        <f t="shared" si="24"/>
        <v>181624.00000000006</v>
      </c>
      <c r="T45" s="75"/>
    </row>
    <row r="46" spans="1:26" x14ac:dyDescent="0.25">
      <c r="A46" s="9"/>
      <c r="B46" s="43"/>
      <c r="C46" s="43"/>
      <c r="G46" s="37"/>
      <c r="H46" s="79">
        <f t="shared" si="3"/>
        <v>2056</v>
      </c>
      <c r="I46" s="86">
        <f t="shared" si="14"/>
        <v>0.33831127775326819</v>
      </c>
      <c r="J46" s="277">
        <f t="shared" si="15"/>
        <v>1.08</v>
      </c>
      <c r="K46" s="277">
        <f t="shared" si="16"/>
        <v>1.61</v>
      </c>
      <c r="L46" s="278">
        <f t="shared" si="17"/>
        <v>0</v>
      </c>
      <c r="M46" s="276">
        <f t="shared" si="18"/>
        <v>0.81</v>
      </c>
      <c r="N46" s="277">
        <f t="shared" si="19"/>
        <v>1.21</v>
      </c>
      <c r="O46" s="278">
        <f t="shared" si="20"/>
        <v>0</v>
      </c>
      <c r="P46" s="276">
        <f t="shared" si="21"/>
        <v>0.27</v>
      </c>
      <c r="Q46" s="279">
        <f t="shared" si="22"/>
        <v>0.40000000000000013</v>
      </c>
      <c r="R46" s="278">
        <f t="shared" si="23"/>
        <v>0</v>
      </c>
      <c r="S46" s="109">
        <f t="shared" si="24"/>
        <v>181668.00000000006</v>
      </c>
      <c r="T46" s="75"/>
    </row>
    <row r="47" spans="1:26" ht="15.75" thickBot="1" x14ac:dyDescent="0.3">
      <c r="A47" s="43"/>
      <c r="B47" s="43"/>
      <c r="C47" s="43"/>
      <c r="G47" s="37"/>
      <c r="H47" s="80">
        <f t="shared" si="3"/>
        <v>2057</v>
      </c>
      <c r="I47" s="377">
        <f t="shared" si="14"/>
        <v>0.34834861233641767</v>
      </c>
      <c r="J47" s="378">
        <f t="shared" si="15"/>
        <v>1.08</v>
      </c>
      <c r="K47" s="378">
        <f t="shared" si="16"/>
        <v>1.62</v>
      </c>
      <c r="L47" s="379">
        <f t="shared" si="17"/>
        <v>0</v>
      </c>
      <c r="M47" s="380">
        <f t="shared" si="18"/>
        <v>0.81</v>
      </c>
      <c r="N47" s="378">
        <f t="shared" si="19"/>
        <v>1.22</v>
      </c>
      <c r="O47" s="379">
        <f t="shared" si="20"/>
        <v>0</v>
      </c>
      <c r="P47" s="380">
        <f t="shared" si="21"/>
        <v>0.27</v>
      </c>
      <c r="Q47" s="381">
        <f t="shared" si="22"/>
        <v>0.40000000000000013</v>
      </c>
      <c r="R47" s="379">
        <f t="shared" si="23"/>
        <v>0</v>
      </c>
      <c r="S47" s="95">
        <f t="shared" si="24"/>
        <v>181668.00000000006</v>
      </c>
      <c r="T47" s="75"/>
    </row>
    <row r="48" spans="1:26" ht="15.75" thickBot="1" x14ac:dyDescent="0.3">
      <c r="A48" s="43"/>
      <c r="B48" s="43"/>
      <c r="C48" s="43"/>
      <c r="G48" s="9"/>
      <c r="H48" s="97"/>
      <c r="I48" s="98"/>
      <c r="J48" s="97"/>
      <c r="K48" s="99"/>
      <c r="L48" s="99"/>
      <c r="M48" s="99"/>
      <c r="N48" s="99"/>
      <c r="O48" s="99"/>
      <c r="P48" s="9"/>
      <c r="R48" s="204" t="s">
        <v>10</v>
      </c>
      <c r="S48" s="95">
        <f>SUM(S7:S43)</f>
        <v>4345968</v>
      </c>
      <c r="T48" s="75"/>
    </row>
    <row r="49" spans="1:20" x14ac:dyDescent="0.25">
      <c r="A49" s="9"/>
      <c r="B49" s="43"/>
      <c r="C49" s="43"/>
      <c r="G49" s="9"/>
      <c r="H49" s="97"/>
      <c r="I49" s="98"/>
      <c r="J49" s="97"/>
      <c r="K49" s="99"/>
      <c r="L49" s="99"/>
      <c r="M49" s="99"/>
      <c r="N49" s="99"/>
      <c r="O49" s="99"/>
      <c r="P49" s="9"/>
      <c r="T49" s="75"/>
    </row>
    <row r="50" spans="1:20" x14ac:dyDescent="0.25">
      <c r="A50" s="43"/>
      <c r="B50" s="43"/>
      <c r="C50" s="43"/>
      <c r="G50" s="9"/>
      <c r="T50" s="75"/>
    </row>
    <row r="51" spans="1:20" x14ac:dyDescent="0.25">
      <c r="A51" s="9"/>
      <c r="B51" s="43"/>
      <c r="C51" s="43"/>
      <c r="G51" s="9"/>
      <c r="T51" s="75"/>
    </row>
    <row r="52" spans="1:20" x14ac:dyDescent="0.25">
      <c r="A52" s="43"/>
      <c r="B52" s="43"/>
      <c r="C52" s="43"/>
      <c r="G52" s="9"/>
      <c r="H52" s="97"/>
      <c r="I52" s="98"/>
      <c r="J52" s="97"/>
      <c r="K52" s="99"/>
      <c r="L52" s="99"/>
      <c r="M52" s="99"/>
      <c r="N52" s="99"/>
      <c r="O52" s="99"/>
      <c r="P52" s="9"/>
      <c r="T52" s="75"/>
    </row>
    <row r="53" spans="1:20" x14ac:dyDescent="0.25">
      <c r="A53" s="9"/>
      <c r="B53" s="43"/>
      <c r="C53" s="43"/>
      <c r="G53" s="9"/>
      <c r="H53" s="97"/>
      <c r="I53" s="98"/>
      <c r="J53" s="97"/>
      <c r="K53" s="99"/>
      <c r="L53" s="99"/>
      <c r="M53" s="99"/>
      <c r="N53" s="99"/>
      <c r="O53" s="99"/>
      <c r="P53" s="9"/>
      <c r="T53" s="75"/>
    </row>
    <row r="54" spans="1:20" x14ac:dyDescent="0.25">
      <c r="A54" s="43"/>
      <c r="B54" s="43"/>
      <c r="C54" s="43"/>
      <c r="G54" s="9"/>
      <c r="J54" s="99"/>
      <c r="K54" s="99"/>
      <c r="L54" s="99"/>
      <c r="M54" s="99"/>
      <c r="N54" s="99"/>
      <c r="O54" s="99"/>
      <c r="P54" s="9"/>
      <c r="T54" s="75"/>
    </row>
    <row r="55" spans="1:20" x14ac:dyDescent="0.25">
      <c r="A55" s="9"/>
      <c r="B55" s="43"/>
      <c r="C55" s="43"/>
      <c r="G55" s="9"/>
      <c r="J55" s="97"/>
      <c r="K55" s="99"/>
      <c r="L55" s="99"/>
      <c r="M55" s="99"/>
      <c r="N55" s="99"/>
      <c r="O55" s="99"/>
      <c r="P55" s="9"/>
      <c r="T55" s="75"/>
    </row>
    <row r="56" spans="1:20" x14ac:dyDescent="0.25">
      <c r="A56" s="43"/>
      <c r="B56" s="43"/>
      <c r="C56" s="43"/>
      <c r="G56" s="9"/>
      <c r="J56" s="97"/>
      <c r="K56" s="99"/>
      <c r="L56" s="99"/>
      <c r="M56" s="99"/>
      <c r="N56" s="99"/>
      <c r="O56" s="99"/>
      <c r="P56" s="9"/>
      <c r="T56" s="75"/>
    </row>
    <row r="57" spans="1:20" x14ac:dyDescent="0.25">
      <c r="A57" s="43"/>
      <c r="B57" s="43"/>
      <c r="C57" s="43"/>
      <c r="G57" s="9"/>
      <c r="J57" s="97"/>
      <c r="K57" s="99"/>
      <c r="L57" s="99"/>
      <c r="M57" s="99"/>
      <c r="N57" s="99"/>
      <c r="O57" s="99"/>
      <c r="P57" s="9"/>
      <c r="T57" s="75"/>
    </row>
    <row r="58" spans="1:20" x14ac:dyDescent="0.25">
      <c r="A58" s="9"/>
      <c r="B58" s="43"/>
      <c r="C58" s="43"/>
      <c r="G58" s="9"/>
      <c r="J58" s="97"/>
      <c r="K58" s="99"/>
      <c r="L58" s="99"/>
      <c r="M58" s="99"/>
      <c r="N58" s="99"/>
      <c r="O58" s="99"/>
      <c r="P58" s="9"/>
      <c r="T58" s="75"/>
    </row>
    <row r="59" spans="1:20" x14ac:dyDescent="0.25">
      <c r="A59" s="43"/>
      <c r="B59" s="43"/>
      <c r="C59" s="43"/>
      <c r="G59" s="9"/>
      <c r="J59" s="97"/>
      <c r="K59" s="99"/>
      <c r="L59" s="99"/>
      <c r="M59" s="99"/>
      <c r="N59" s="99"/>
      <c r="O59" s="99"/>
      <c r="P59" s="9"/>
      <c r="T59" s="75"/>
    </row>
    <row r="60" spans="1:20" x14ac:dyDescent="0.25">
      <c r="A60" s="9"/>
      <c r="B60" s="43"/>
      <c r="C60" s="43"/>
      <c r="G60" s="9"/>
      <c r="J60" s="97"/>
      <c r="K60" s="99"/>
      <c r="L60" s="99"/>
      <c r="M60" s="99"/>
      <c r="N60" s="99"/>
      <c r="O60" s="99"/>
      <c r="P60" s="9"/>
      <c r="Q60" s="9"/>
      <c r="T60" s="75"/>
    </row>
    <row r="61" spans="1:20" x14ac:dyDescent="0.25">
      <c r="A61" s="43"/>
      <c r="B61" s="43"/>
      <c r="C61" s="43"/>
      <c r="G61" s="9"/>
      <c r="H61" s="97"/>
      <c r="I61" s="98"/>
      <c r="J61" s="97"/>
      <c r="K61" s="99"/>
      <c r="L61" s="99"/>
      <c r="M61" s="99"/>
      <c r="N61" s="99"/>
      <c r="O61" s="99"/>
      <c r="P61" s="9"/>
      <c r="T61" s="75"/>
    </row>
    <row r="62" spans="1:20" x14ac:dyDescent="0.25">
      <c r="A62" s="9"/>
      <c r="B62" s="43"/>
      <c r="C62" s="43"/>
      <c r="G62" s="9"/>
      <c r="H62" s="97"/>
      <c r="I62" s="100"/>
      <c r="J62" s="101"/>
      <c r="K62" s="101"/>
      <c r="L62" s="99"/>
      <c r="M62" s="99"/>
      <c r="N62" s="99"/>
      <c r="O62" s="99"/>
      <c r="P62" s="102"/>
      <c r="Q62" s="75"/>
      <c r="R62" s="75"/>
      <c r="S62" s="75"/>
      <c r="T62" s="75"/>
    </row>
    <row r="63" spans="1:20" ht="15" customHeight="1" x14ac:dyDescent="0.25">
      <c r="A63" s="43"/>
      <c r="B63" s="43"/>
      <c r="C63" s="43"/>
      <c r="G63" s="9"/>
      <c r="H63" s="97"/>
      <c r="I63" s="100"/>
      <c r="J63" s="97"/>
      <c r="K63" s="101"/>
      <c r="L63" s="99"/>
      <c r="M63" s="99"/>
      <c r="N63" s="99"/>
      <c r="O63" s="99"/>
      <c r="P63" s="103"/>
      <c r="Q63" s="35"/>
      <c r="R63" s="35"/>
      <c r="S63" s="35"/>
      <c r="T63" s="75"/>
    </row>
    <row r="64" spans="1:20" x14ac:dyDescent="0.25">
      <c r="A64" s="9"/>
      <c r="B64" s="43"/>
      <c r="C64" s="43"/>
      <c r="G64" s="9"/>
      <c r="H64" s="97"/>
      <c r="I64" s="100"/>
      <c r="J64" s="97"/>
      <c r="K64" s="101"/>
      <c r="L64" s="99"/>
      <c r="M64" s="99"/>
      <c r="N64" s="99"/>
      <c r="O64" s="99"/>
      <c r="P64" s="37"/>
      <c r="Q64" s="35"/>
      <c r="R64" s="35"/>
      <c r="S64" s="35"/>
      <c r="T64" s="75"/>
    </row>
    <row r="65" spans="1:20" x14ac:dyDescent="0.25">
      <c r="A65" s="9"/>
      <c r="B65" s="9"/>
      <c r="C65" s="9"/>
      <c r="G65" s="9"/>
      <c r="H65" s="97"/>
      <c r="I65" s="100"/>
      <c r="J65" s="97"/>
      <c r="K65" s="101"/>
      <c r="L65" s="99"/>
      <c r="M65" s="99"/>
      <c r="N65" s="99"/>
      <c r="O65" s="99"/>
      <c r="P65" s="37"/>
      <c r="Q65" s="35"/>
      <c r="R65" s="35"/>
      <c r="S65" s="35"/>
      <c r="T65" s="35"/>
    </row>
    <row r="66" spans="1:20" x14ac:dyDescent="0.25">
      <c r="A66" s="9"/>
      <c r="B66" s="9"/>
      <c r="C66" s="9"/>
      <c r="G66" s="9"/>
      <c r="H66" s="97"/>
      <c r="I66" s="100"/>
      <c r="J66" s="97"/>
      <c r="K66" s="101"/>
      <c r="L66" s="99"/>
      <c r="M66" s="99"/>
      <c r="N66" s="99"/>
      <c r="O66" s="99"/>
      <c r="P66" s="37"/>
      <c r="Q66" s="35"/>
      <c r="R66" s="35"/>
      <c r="S66" s="35"/>
      <c r="T66" s="35"/>
    </row>
    <row r="67" spans="1:20" x14ac:dyDescent="0.25">
      <c r="A67" s="9"/>
      <c r="B67" s="9"/>
      <c r="C67" s="9"/>
      <c r="G67" s="9"/>
      <c r="H67" s="97"/>
      <c r="I67" s="100"/>
      <c r="J67" s="97"/>
      <c r="K67" s="101"/>
      <c r="L67" s="99"/>
      <c r="M67" s="99"/>
      <c r="N67" s="99"/>
      <c r="O67" s="99"/>
      <c r="P67" s="37"/>
      <c r="Q67" s="35"/>
      <c r="R67" s="35"/>
      <c r="S67" s="35"/>
      <c r="T67" s="35"/>
    </row>
    <row r="68" spans="1:20" x14ac:dyDescent="0.25">
      <c r="A68" s="9"/>
      <c r="B68" s="9"/>
      <c r="C68" s="9"/>
      <c r="G68" s="9"/>
      <c r="H68" s="97"/>
      <c r="I68" s="100"/>
      <c r="J68" s="97"/>
      <c r="K68" s="101"/>
      <c r="L68" s="99"/>
      <c r="M68" s="99"/>
      <c r="N68" s="99"/>
      <c r="O68" s="99"/>
      <c r="P68" s="37"/>
      <c r="Q68" s="35"/>
      <c r="R68" s="35"/>
      <c r="S68" s="35"/>
      <c r="T68" s="35"/>
    </row>
    <row r="69" spans="1:20" x14ac:dyDescent="0.25">
      <c r="G69" s="9"/>
      <c r="H69" s="97"/>
      <c r="I69" s="100"/>
      <c r="J69" s="97"/>
      <c r="K69" s="101"/>
      <c r="L69" s="99"/>
      <c r="M69" s="99"/>
      <c r="N69" s="99"/>
      <c r="O69" s="99"/>
      <c r="P69" s="9"/>
      <c r="T69" s="35"/>
    </row>
    <row r="70" spans="1:20" x14ac:dyDescent="0.25">
      <c r="G70" s="9"/>
      <c r="H70" s="97"/>
      <c r="I70" s="100"/>
      <c r="J70" s="97"/>
      <c r="K70" s="101"/>
      <c r="L70" s="99"/>
      <c r="M70" s="99"/>
      <c r="N70" s="99"/>
      <c r="O70" s="99"/>
      <c r="P70" s="9"/>
      <c r="T70" s="35"/>
    </row>
    <row r="71" spans="1:20" x14ac:dyDescent="0.25">
      <c r="G71" s="9"/>
      <c r="H71" s="97"/>
      <c r="I71" s="100"/>
      <c r="J71" s="97"/>
      <c r="K71" s="101"/>
      <c r="L71" s="99"/>
      <c r="M71" s="99"/>
      <c r="N71" s="99"/>
      <c r="O71" s="99"/>
      <c r="P71" s="9"/>
      <c r="T71" s="35"/>
    </row>
    <row r="72" spans="1:20" x14ac:dyDescent="0.25">
      <c r="G72" s="9"/>
      <c r="H72" s="97"/>
      <c r="I72" s="100"/>
      <c r="J72" s="97"/>
      <c r="K72" s="101"/>
      <c r="L72" s="99"/>
      <c r="M72" s="99"/>
      <c r="N72" s="99"/>
      <c r="O72" s="99"/>
      <c r="P72" s="104"/>
      <c r="Q72" s="77"/>
      <c r="R72" s="75"/>
      <c r="S72" s="75"/>
      <c r="T72" s="35"/>
    </row>
    <row r="73" spans="1:20" x14ac:dyDescent="0.25">
      <c r="G73" s="9"/>
      <c r="H73" s="97"/>
      <c r="I73" s="100"/>
      <c r="J73" s="97"/>
      <c r="K73" s="101"/>
      <c r="L73" s="99"/>
      <c r="M73" s="99"/>
      <c r="N73" s="99"/>
      <c r="O73" s="99"/>
      <c r="P73" s="76"/>
      <c r="Q73" s="77"/>
      <c r="R73" s="75"/>
      <c r="S73" s="76"/>
      <c r="T73" s="35"/>
    </row>
    <row r="74" spans="1:20" x14ac:dyDescent="0.25">
      <c r="G74" s="9"/>
      <c r="H74" s="97"/>
      <c r="I74" s="100"/>
      <c r="J74" s="97"/>
      <c r="K74" s="101"/>
      <c r="L74" s="99"/>
      <c r="M74" s="99"/>
      <c r="N74" s="99"/>
      <c r="O74" s="99"/>
      <c r="P74" s="76"/>
      <c r="Q74" s="77"/>
      <c r="R74" s="75"/>
      <c r="S74" s="75"/>
      <c r="T74" s="35"/>
    </row>
    <row r="75" spans="1:20" x14ac:dyDescent="0.25">
      <c r="G75" s="9"/>
      <c r="H75" s="97"/>
      <c r="I75" s="100"/>
      <c r="J75" s="97"/>
      <c r="K75" s="101"/>
      <c r="L75" s="99"/>
      <c r="M75" s="99"/>
      <c r="N75" s="99"/>
      <c r="O75" s="99"/>
      <c r="P75" s="76"/>
      <c r="Q75" s="75"/>
      <c r="R75" s="75"/>
      <c r="S75" s="75"/>
      <c r="T75" s="35"/>
    </row>
    <row r="76" spans="1:20" x14ac:dyDescent="0.25">
      <c r="G76" s="9"/>
      <c r="H76" s="97"/>
      <c r="I76" s="100"/>
      <c r="J76" s="97"/>
      <c r="K76" s="101"/>
      <c r="L76" s="99"/>
      <c r="M76" s="99"/>
      <c r="N76" s="99"/>
      <c r="O76" s="99"/>
      <c r="P76" s="76"/>
      <c r="Q76" s="75"/>
      <c r="R76" s="75"/>
      <c r="S76" s="75"/>
    </row>
    <row r="77" spans="1:20" x14ac:dyDescent="0.25">
      <c r="G77" s="9"/>
      <c r="H77" s="105"/>
      <c r="I77" s="9"/>
      <c r="J77" s="9"/>
      <c r="K77" s="9"/>
      <c r="L77" s="9"/>
      <c r="M77" s="9"/>
      <c r="N77" s="9"/>
      <c r="O77" s="9"/>
      <c r="P77" s="76"/>
      <c r="Q77" s="75"/>
      <c r="R77" s="75"/>
      <c r="S77" s="75"/>
    </row>
    <row r="78" spans="1:20" x14ac:dyDescent="0.25">
      <c r="G78" s="9"/>
      <c r="H78" s="9"/>
      <c r="I78" s="9"/>
      <c r="J78" s="9"/>
      <c r="K78" s="9"/>
      <c r="L78" s="9"/>
      <c r="M78" s="9"/>
      <c r="N78" s="9"/>
      <c r="O78" s="9"/>
      <c r="P78" s="76"/>
      <c r="Q78" s="75"/>
      <c r="R78" s="75"/>
      <c r="S78" s="75"/>
    </row>
    <row r="79" spans="1:20" x14ac:dyDescent="0.25"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20" x14ac:dyDescent="0.25">
      <c r="G80" s="9"/>
    </row>
    <row r="81" spans="7:7" x14ac:dyDescent="0.25">
      <c r="G81" s="9"/>
    </row>
  </sheetData>
  <mergeCells count="20">
    <mergeCell ref="A14:B15"/>
    <mergeCell ref="C14:C15"/>
    <mergeCell ref="A22:C22"/>
    <mergeCell ref="A23:B23"/>
    <mergeCell ref="A25:F25"/>
    <mergeCell ref="H4:L4"/>
    <mergeCell ref="M4:O4"/>
    <mergeCell ref="P4:R4"/>
    <mergeCell ref="S4:S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35" right="0.2" top="0.75" bottom="0.75" header="0.3" footer="0.3"/>
  <pageSetup paperSize="133" scale="7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19E7-DBC8-48C9-9C7C-20BC736273E7}">
  <sheetPr>
    <pageSetUpPr fitToPage="1"/>
  </sheetPr>
  <dimension ref="A1:N67"/>
  <sheetViews>
    <sheetView view="pageBreakPreview" topLeftCell="A7" zoomScale="70" zoomScaleNormal="100" zoomScaleSheetLayoutView="70" workbookViewId="0">
      <selection activeCell="I25" sqref="I25"/>
    </sheetView>
  </sheetViews>
  <sheetFormatPr defaultRowHeight="15" x14ac:dyDescent="0.25"/>
  <cols>
    <col min="1" max="3" width="15.7109375" customWidth="1"/>
    <col min="4" max="4" width="15.7109375" style="267" customWidth="1"/>
    <col min="5" max="5" width="18.7109375" customWidth="1"/>
    <col min="6" max="6" width="2.7109375" style="267" customWidth="1"/>
    <col min="7" max="8" width="15.7109375" style="267" customWidth="1"/>
    <col min="9" max="9" width="18.7109375" style="267" customWidth="1"/>
    <col min="10" max="24" width="15.7109375" customWidth="1"/>
  </cols>
  <sheetData>
    <row r="1" spans="1:14" ht="16.5" thickBot="1" x14ac:dyDescent="0.3">
      <c r="A1" s="12" t="s">
        <v>115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ht="30" customHeight="1" thickBot="1" x14ac:dyDescent="0.4">
      <c r="A2" s="575" t="s">
        <v>0</v>
      </c>
      <c r="B2" s="575" t="s">
        <v>1</v>
      </c>
      <c r="C2" s="546"/>
      <c r="D2" s="546" t="s">
        <v>236</v>
      </c>
      <c r="E2" s="575" t="s">
        <v>275</v>
      </c>
      <c r="F2" s="205"/>
      <c r="G2" s="546" t="s">
        <v>273</v>
      </c>
      <c r="H2" s="546" t="s">
        <v>274</v>
      </c>
      <c r="I2" s="575" t="s">
        <v>276</v>
      </c>
      <c r="J2" s="13"/>
    </row>
    <row r="3" spans="1:14" ht="30" customHeight="1" thickBot="1" x14ac:dyDescent="0.3">
      <c r="A3" s="575"/>
      <c r="B3" s="575"/>
      <c r="C3" s="548"/>
      <c r="D3" s="548"/>
      <c r="E3" s="575"/>
      <c r="F3" s="205"/>
      <c r="G3" s="548"/>
      <c r="H3" s="548"/>
      <c r="I3" s="575"/>
      <c r="J3" s="115"/>
    </row>
    <row r="4" spans="1:14" ht="21" x14ac:dyDescent="0.35">
      <c r="A4" s="36">
        <v>2014</v>
      </c>
      <c r="B4" s="107"/>
      <c r="C4" s="121"/>
      <c r="D4" s="61"/>
      <c r="E4" s="61"/>
      <c r="F4" s="9"/>
      <c r="G4" s="61"/>
      <c r="H4" s="61"/>
      <c r="I4" s="61"/>
      <c r="K4" s="35" t="s">
        <v>111</v>
      </c>
      <c r="L4" s="13"/>
      <c r="M4" s="13"/>
    </row>
    <row r="5" spans="1:14" x14ac:dyDescent="0.25">
      <c r="A5" s="5">
        <v>2015</v>
      </c>
      <c r="B5" s="8"/>
      <c r="C5" s="122"/>
      <c r="D5" s="22"/>
      <c r="E5" s="22"/>
      <c r="F5" s="9"/>
      <c r="G5" s="22"/>
      <c r="H5" s="22"/>
      <c r="I5" s="22"/>
      <c r="K5" s="191" t="s">
        <v>36</v>
      </c>
      <c r="L5" s="190" t="s">
        <v>112</v>
      </c>
      <c r="M5" s="189">
        <v>7.4999999999999997E-3</v>
      </c>
      <c r="N5" t="s">
        <v>113</v>
      </c>
    </row>
    <row r="6" spans="1:14" x14ac:dyDescent="0.25">
      <c r="A6" s="7">
        <v>2016</v>
      </c>
      <c r="B6" s="119"/>
      <c r="C6" s="116"/>
      <c r="D6" s="280"/>
      <c r="E6" s="285"/>
      <c r="F6" s="9"/>
      <c r="G6" s="280"/>
      <c r="H6" s="280"/>
      <c r="I6" s="285"/>
      <c r="J6" s="35"/>
      <c r="K6" s="192" t="s">
        <v>37</v>
      </c>
      <c r="L6" t="s">
        <v>235</v>
      </c>
    </row>
    <row r="7" spans="1:14" x14ac:dyDescent="0.25">
      <c r="A7" s="5">
        <f t="shared" ref="A7:A47" si="0">1+A6:A6</f>
        <v>2017</v>
      </c>
      <c r="B7" s="51"/>
      <c r="C7" s="127"/>
      <c r="D7" s="281"/>
      <c r="E7" s="22"/>
      <c r="F7" s="9"/>
      <c r="G7" s="281"/>
      <c r="H7" s="281"/>
      <c r="I7" s="22"/>
      <c r="J7" s="38"/>
      <c r="K7" s="192" t="s">
        <v>38</v>
      </c>
      <c r="L7" t="s">
        <v>319</v>
      </c>
    </row>
    <row r="8" spans="1:14" ht="15" customHeight="1" x14ac:dyDescent="0.25">
      <c r="A8" s="5">
        <f t="shared" si="0"/>
        <v>2018</v>
      </c>
      <c r="B8" s="51"/>
      <c r="C8" s="127"/>
      <c r="D8" s="281"/>
      <c r="E8" s="22"/>
      <c r="F8" s="9"/>
      <c r="G8" s="387">
        <v>1</v>
      </c>
      <c r="H8" s="330">
        <f t="shared" ref="H8" si="1">G8^1.5</f>
        <v>1</v>
      </c>
      <c r="I8" s="22"/>
      <c r="J8" s="38"/>
      <c r="K8" s="192"/>
      <c r="L8" s="9"/>
    </row>
    <row r="9" spans="1:14" ht="15.75" thickBot="1" x14ac:dyDescent="0.3">
      <c r="A9" s="5">
        <f t="shared" si="0"/>
        <v>2019</v>
      </c>
      <c r="B9" s="8"/>
      <c r="C9" s="122"/>
      <c r="D9" s="22"/>
      <c r="E9" s="286"/>
      <c r="F9" s="206"/>
      <c r="G9" s="387">
        <v>1</v>
      </c>
      <c r="H9" s="330">
        <f>H8*1.0205</f>
        <v>1.0205</v>
      </c>
      <c r="I9" s="286"/>
      <c r="J9" s="38"/>
      <c r="K9" s="37"/>
      <c r="M9" s="9"/>
    </row>
    <row r="10" spans="1:14" ht="15.75" customHeight="1" thickBot="1" x14ac:dyDescent="0.3">
      <c r="A10" s="5">
        <f t="shared" si="0"/>
        <v>2020</v>
      </c>
      <c r="B10" s="8"/>
      <c r="C10" s="122"/>
      <c r="D10" s="22"/>
      <c r="E10" s="286"/>
      <c r="F10" s="206"/>
      <c r="G10" s="387">
        <v>1</v>
      </c>
      <c r="H10" s="330">
        <f t="shared" ref="H10:H47" si="2">H9*1.0205</f>
        <v>1.0414202499999998</v>
      </c>
      <c r="I10" s="286"/>
      <c r="J10" s="38"/>
      <c r="K10" s="195">
        <f>'2018 Summer Weekend Savings'!E48</f>
        <v>4445657.2972404351</v>
      </c>
      <c r="L10" s="388" t="s">
        <v>277</v>
      </c>
      <c r="M10" s="14"/>
    </row>
    <row r="11" spans="1:14" x14ac:dyDescent="0.25">
      <c r="A11" s="5">
        <f t="shared" si="0"/>
        <v>2021</v>
      </c>
      <c r="B11" s="51">
        <v>1</v>
      </c>
      <c r="C11" s="122"/>
      <c r="D11" s="22"/>
      <c r="E11" s="286"/>
      <c r="F11" s="206"/>
      <c r="G11" s="387">
        <v>1</v>
      </c>
      <c r="H11" s="330">
        <f t="shared" si="2"/>
        <v>1.0627693651249999</v>
      </c>
      <c r="I11" s="286"/>
      <c r="J11" s="38"/>
      <c r="K11" s="40"/>
      <c r="L11" s="15"/>
      <c r="M11" s="15"/>
    </row>
    <row r="12" spans="1:14" x14ac:dyDescent="0.25">
      <c r="A12" s="5">
        <f t="shared" si="0"/>
        <v>2022</v>
      </c>
      <c r="B12" s="51">
        <f>B11+1</f>
        <v>2</v>
      </c>
      <c r="C12" s="122"/>
      <c r="D12" s="22"/>
      <c r="E12" s="286"/>
      <c r="F12" s="206"/>
      <c r="G12" s="387">
        <v>1</v>
      </c>
      <c r="H12" s="330">
        <f t="shared" si="2"/>
        <v>1.0845561371100623</v>
      </c>
      <c r="I12" s="286"/>
      <c r="J12" s="38"/>
      <c r="K12" s="390">
        <v>0.8</v>
      </c>
      <c r="L12" s="389" t="s">
        <v>278</v>
      </c>
      <c r="M12" s="15"/>
    </row>
    <row r="13" spans="1:14" x14ac:dyDescent="0.25">
      <c r="A13" s="5">
        <f t="shared" si="0"/>
        <v>2023</v>
      </c>
      <c r="B13" s="51">
        <f t="shared" ref="B13:B47" si="3">B12+1</f>
        <v>3</v>
      </c>
      <c r="C13" s="122"/>
      <c r="D13" s="22"/>
      <c r="E13" s="286"/>
      <c r="F13" s="206"/>
      <c r="G13" s="387">
        <v>1</v>
      </c>
      <c r="H13" s="330">
        <f t="shared" si="2"/>
        <v>1.1067895379208186</v>
      </c>
      <c r="I13" s="286"/>
      <c r="J13" s="38"/>
      <c r="K13" s="40"/>
      <c r="L13" s="15"/>
      <c r="M13" s="15"/>
    </row>
    <row r="14" spans="1:14" x14ac:dyDescent="0.25">
      <c r="A14" s="5">
        <f t="shared" si="0"/>
        <v>2024</v>
      </c>
      <c r="B14" s="51">
        <f t="shared" si="3"/>
        <v>4</v>
      </c>
      <c r="C14" s="122"/>
      <c r="D14" s="22"/>
      <c r="E14" s="286"/>
      <c r="F14" s="206"/>
      <c r="G14" s="387">
        <v>1</v>
      </c>
      <c r="H14" s="330">
        <f t="shared" si="2"/>
        <v>1.1294787234481953</v>
      </c>
      <c r="I14" s="286"/>
      <c r="J14" s="38"/>
      <c r="K14" s="35"/>
    </row>
    <row r="15" spans="1:14" ht="15.75" customHeight="1" x14ac:dyDescent="0.25">
      <c r="A15" s="5">
        <f t="shared" si="0"/>
        <v>2025</v>
      </c>
      <c r="B15" s="51">
        <f t="shared" si="3"/>
        <v>5</v>
      </c>
      <c r="C15" s="122"/>
      <c r="D15" s="22"/>
      <c r="E15" s="286"/>
      <c r="F15" s="206"/>
      <c r="G15" s="387">
        <v>1</v>
      </c>
      <c r="H15" s="330">
        <f t="shared" si="2"/>
        <v>1.1526330372788833</v>
      </c>
      <c r="I15" s="286"/>
      <c r="J15" s="38"/>
      <c r="K15" s="37"/>
    </row>
    <row r="16" spans="1:14" x14ac:dyDescent="0.25">
      <c r="A16" s="5">
        <f t="shared" si="0"/>
        <v>2026</v>
      </c>
      <c r="B16" s="51">
        <f t="shared" si="3"/>
        <v>6</v>
      </c>
      <c r="C16" s="122"/>
      <c r="D16" s="22"/>
      <c r="E16" s="286"/>
      <c r="F16" s="206"/>
      <c r="G16" s="387">
        <v>1</v>
      </c>
      <c r="H16" s="330">
        <f t="shared" si="2"/>
        <v>1.1762620145431004</v>
      </c>
      <c r="I16" s="286"/>
      <c r="J16" s="38"/>
      <c r="K16" s="37"/>
    </row>
    <row r="17" spans="1:13" x14ac:dyDescent="0.25">
      <c r="A17" s="5">
        <f t="shared" si="0"/>
        <v>2027</v>
      </c>
      <c r="B17" s="51">
        <f t="shared" si="3"/>
        <v>7</v>
      </c>
      <c r="C17" s="193"/>
      <c r="D17" s="330">
        <f t="shared" ref="D17:D23" si="4">D18/1.0205</f>
        <v>0.85015072121361801</v>
      </c>
      <c r="E17" s="282">
        <f t="shared" ref="E17:E24" si="5">$E$25*D17</f>
        <v>2235382.9077557875</v>
      </c>
      <c r="F17" s="208"/>
      <c r="G17" s="387">
        <v>1</v>
      </c>
      <c r="H17" s="330">
        <f t="shared" si="2"/>
        <v>1.200375385841234</v>
      </c>
      <c r="I17" s="282">
        <f>$K$10*$K$12*G17*H17</f>
        <v>4269166.0747943083</v>
      </c>
      <c r="J17" s="38"/>
      <c r="K17" s="37"/>
    </row>
    <row r="18" spans="1:13" x14ac:dyDescent="0.25">
      <c r="A18" s="5">
        <f t="shared" si="0"/>
        <v>2028</v>
      </c>
      <c r="B18" s="51">
        <f t="shared" si="3"/>
        <v>8</v>
      </c>
      <c r="C18" s="193"/>
      <c r="D18" s="330">
        <f t="shared" si="4"/>
        <v>0.8675788109984971</v>
      </c>
      <c r="E18" s="282">
        <f t="shared" si="5"/>
        <v>2281208.2573647811</v>
      </c>
      <c r="F18" s="208"/>
      <c r="G18" s="387">
        <v>1</v>
      </c>
      <c r="H18" s="330">
        <f t="shared" si="2"/>
        <v>1.2249830812509792</v>
      </c>
      <c r="I18" s="282">
        <f t="shared" ref="I18:I47" si="6">$K$10*$K$12*G18*H18</f>
        <v>4356683.9793275911</v>
      </c>
      <c r="J18" s="38"/>
      <c r="K18" s="35"/>
    </row>
    <row r="19" spans="1:13" ht="15" customHeight="1" x14ac:dyDescent="0.25">
      <c r="A19" s="5">
        <f t="shared" si="0"/>
        <v>2029</v>
      </c>
      <c r="B19" s="51">
        <f t="shared" si="3"/>
        <v>9</v>
      </c>
      <c r="C19" s="193"/>
      <c r="D19" s="330">
        <f t="shared" si="4"/>
        <v>0.88536417662396627</v>
      </c>
      <c r="E19" s="282">
        <f t="shared" si="5"/>
        <v>2327973.0266407588</v>
      </c>
      <c r="F19" s="208"/>
      <c r="G19" s="387">
        <v>1</v>
      </c>
      <c r="H19" s="330">
        <f t="shared" si="2"/>
        <v>1.2500952344166243</v>
      </c>
      <c r="I19" s="282">
        <f t="shared" si="6"/>
        <v>4445996.0009038066</v>
      </c>
      <c r="J19" s="38"/>
      <c r="K19" s="42"/>
      <c r="L19" s="25"/>
      <c r="M19" s="25"/>
    </row>
    <row r="20" spans="1:13" x14ac:dyDescent="0.25">
      <c r="A20" s="5">
        <f t="shared" si="0"/>
        <v>2030</v>
      </c>
      <c r="B20" s="51">
        <f t="shared" si="3"/>
        <v>10</v>
      </c>
      <c r="C20" s="193"/>
      <c r="D20" s="330">
        <f t="shared" si="4"/>
        <v>0.90351414224475757</v>
      </c>
      <c r="E20" s="282">
        <f t="shared" si="5"/>
        <v>2375696.4736868944</v>
      </c>
      <c r="F20" s="208"/>
      <c r="G20" s="387">
        <v>1</v>
      </c>
      <c r="H20" s="330">
        <f t="shared" si="2"/>
        <v>1.2757221867221651</v>
      </c>
      <c r="I20" s="282">
        <f t="shared" si="6"/>
        <v>4537138.9189223349</v>
      </c>
      <c r="J20" s="38"/>
      <c r="K20" s="42"/>
      <c r="L20" s="25"/>
      <c r="M20" s="25"/>
    </row>
    <row r="21" spans="1:13" x14ac:dyDescent="0.25">
      <c r="A21" s="5">
        <f t="shared" si="0"/>
        <v>2031</v>
      </c>
      <c r="B21" s="51">
        <f t="shared" si="3"/>
        <v>11</v>
      </c>
      <c r="C21" s="193"/>
      <c r="D21" s="330">
        <f t="shared" si="4"/>
        <v>0.9220361821607751</v>
      </c>
      <c r="E21" s="282">
        <f t="shared" si="5"/>
        <v>2424398.2513974756</v>
      </c>
      <c r="F21" s="208"/>
      <c r="G21" s="387">
        <v>1</v>
      </c>
      <c r="H21" s="330">
        <f t="shared" si="2"/>
        <v>1.3018744915499694</v>
      </c>
      <c r="I21" s="282">
        <f t="shared" si="6"/>
        <v>4630150.2667602422</v>
      </c>
      <c r="J21" s="38"/>
      <c r="K21" s="41"/>
    </row>
    <row r="22" spans="1:13" x14ac:dyDescent="0.25">
      <c r="A22" s="5">
        <f t="shared" si="0"/>
        <v>2032</v>
      </c>
      <c r="B22" s="51">
        <f t="shared" si="3"/>
        <v>12</v>
      </c>
      <c r="C22" s="193"/>
      <c r="D22" s="330">
        <f t="shared" si="4"/>
        <v>0.94093792389507092</v>
      </c>
      <c r="E22" s="282">
        <f t="shared" si="5"/>
        <v>2474098.4155511237</v>
      </c>
      <c r="F22" s="208"/>
      <c r="G22" s="387">
        <v>1</v>
      </c>
      <c r="H22" s="330">
        <f t="shared" si="2"/>
        <v>1.3285629186267436</v>
      </c>
      <c r="I22" s="282">
        <f t="shared" si="6"/>
        <v>4725068.347228826</v>
      </c>
      <c r="J22" s="38"/>
      <c r="K22" s="41"/>
    </row>
    <row r="23" spans="1:13" x14ac:dyDescent="0.25">
      <c r="A23" s="5">
        <f t="shared" si="0"/>
        <v>2033</v>
      </c>
      <c r="B23" s="51">
        <f t="shared" si="3"/>
        <v>13</v>
      </c>
      <c r="C23" s="193"/>
      <c r="D23" s="330">
        <f t="shared" si="4"/>
        <v>0.96022715133491987</v>
      </c>
      <c r="E23" s="282">
        <f t="shared" si="5"/>
        <v>2524817.433069922</v>
      </c>
      <c r="F23" s="208"/>
      <c r="G23" s="387">
        <v>1</v>
      </c>
      <c r="H23" s="330">
        <f t="shared" si="2"/>
        <v>1.3557984584585918</v>
      </c>
      <c r="I23" s="282">
        <f t="shared" si="6"/>
        <v>4821932.248347017</v>
      </c>
      <c r="J23" s="38"/>
      <c r="K23" s="41"/>
    </row>
    <row r="24" spans="1:13" ht="15.75" thickBot="1" x14ac:dyDescent="0.3">
      <c r="A24" s="5">
        <f t="shared" si="0"/>
        <v>2034</v>
      </c>
      <c r="B24" s="51">
        <f t="shared" si="3"/>
        <v>14</v>
      </c>
      <c r="C24" s="193"/>
      <c r="D24" s="330">
        <f>D25/1.0205</f>
        <v>0.97991180793728572</v>
      </c>
      <c r="E24" s="282">
        <f t="shared" si="5"/>
        <v>2576576.1904478553</v>
      </c>
      <c r="F24" s="208"/>
      <c r="G24" s="387">
        <v>1</v>
      </c>
      <c r="H24" s="330">
        <f t="shared" si="2"/>
        <v>1.383592326856993</v>
      </c>
      <c r="I24" s="282">
        <f t="shared" si="6"/>
        <v>4920781.8594381316</v>
      </c>
      <c r="J24" s="38"/>
      <c r="K24" s="35"/>
    </row>
    <row r="25" spans="1:13" ht="15.75" thickBot="1" x14ac:dyDescent="0.3">
      <c r="A25" s="5">
        <f t="shared" si="0"/>
        <v>2035</v>
      </c>
      <c r="B25" s="51">
        <f t="shared" si="3"/>
        <v>15</v>
      </c>
      <c r="C25" s="193"/>
      <c r="D25" s="330">
        <v>1</v>
      </c>
      <c r="E25" s="195">
        <f>'Travel Times Savings'!E52</f>
        <v>2629396.0023520361</v>
      </c>
      <c r="F25" s="210"/>
      <c r="G25" s="387">
        <v>1</v>
      </c>
      <c r="H25" s="330">
        <f t="shared" si="2"/>
        <v>1.4119559695575612</v>
      </c>
      <c r="I25" s="282">
        <f t="shared" si="6"/>
        <v>5021657.8875566125</v>
      </c>
      <c r="J25" s="38" t="s">
        <v>110</v>
      </c>
      <c r="K25" s="35" t="s">
        <v>109</v>
      </c>
    </row>
    <row r="26" spans="1:13" x14ac:dyDescent="0.25">
      <c r="A26" s="5">
        <f t="shared" si="0"/>
        <v>2036</v>
      </c>
      <c r="B26" s="51">
        <f t="shared" si="3"/>
        <v>16</v>
      </c>
      <c r="C26" s="127"/>
      <c r="D26" s="330">
        <f>D25*1.0205</f>
        <v>1.0205</v>
      </c>
      <c r="E26" s="282">
        <f>$E$25*D26</f>
        <v>2683298.6204002528</v>
      </c>
      <c r="F26" s="208"/>
      <c r="G26" s="387">
        <v>1</v>
      </c>
      <c r="H26" s="330">
        <f t="shared" si="2"/>
        <v>1.4409010669334912</v>
      </c>
      <c r="I26" s="282">
        <f t="shared" si="6"/>
        <v>5124601.8742515231</v>
      </c>
      <c r="J26" s="38"/>
      <c r="K26" s="35"/>
    </row>
    <row r="27" spans="1:13" x14ac:dyDescent="0.25">
      <c r="A27" s="5">
        <f t="shared" si="0"/>
        <v>2037</v>
      </c>
      <c r="B27" s="51">
        <f t="shared" si="3"/>
        <v>17</v>
      </c>
      <c r="C27" s="193"/>
      <c r="D27" s="330">
        <f t="shared" ref="D27:D47" si="7">D26*1.0205</f>
        <v>1.0414202499999998</v>
      </c>
      <c r="E27" s="282">
        <f t="shared" ref="E27:E47" si="8">$E$25*D27</f>
        <v>2738306.2421184573</v>
      </c>
      <c r="F27" s="208"/>
      <c r="G27" s="387">
        <v>1</v>
      </c>
      <c r="H27" s="330">
        <f t="shared" si="2"/>
        <v>1.4704395388056277</v>
      </c>
      <c r="I27" s="282">
        <f t="shared" si="6"/>
        <v>5229656.212673679</v>
      </c>
      <c r="J27" s="2"/>
    </row>
    <row r="28" spans="1:13" x14ac:dyDescent="0.25">
      <c r="A28" s="5">
        <f t="shared" si="0"/>
        <v>2038</v>
      </c>
      <c r="B28" s="51">
        <f t="shared" si="3"/>
        <v>18</v>
      </c>
      <c r="C28" s="193"/>
      <c r="D28" s="330">
        <f t="shared" si="7"/>
        <v>1.0627693651249999</v>
      </c>
      <c r="E28" s="282">
        <f t="shared" si="8"/>
        <v>2794441.5200818861</v>
      </c>
      <c r="F28" s="208"/>
      <c r="G28" s="387">
        <v>1</v>
      </c>
      <c r="H28" s="330">
        <f t="shared" si="2"/>
        <v>1.500583549351143</v>
      </c>
      <c r="I28" s="282">
        <f t="shared" si="6"/>
        <v>5336864.1650334895</v>
      </c>
      <c r="J28" s="2"/>
    </row>
    <row r="29" spans="1:13" x14ac:dyDescent="0.25">
      <c r="A29" s="5">
        <f t="shared" si="0"/>
        <v>2039</v>
      </c>
      <c r="B29" s="51">
        <f t="shared" si="3"/>
        <v>19</v>
      </c>
      <c r="C29" s="193"/>
      <c r="D29" s="330">
        <f t="shared" si="7"/>
        <v>1.0845561371100623</v>
      </c>
      <c r="E29" s="282">
        <f t="shared" si="8"/>
        <v>2851727.5712435646</v>
      </c>
      <c r="F29" s="208"/>
      <c r="G29" s="387">
        <v>1</v>
      </c>
      <c r="H29" s="330">
        <f t="shared" si="2"/>
        <v>1.5313455121128414</v>
      </c>
      <c r="I29" s="282">
        <f t="shared" si="6"/>
        <v>5446269.8804166755</v>
      </c>
      <c r="J29" s="2"/>
    </row>
    <row r="30" spans="1:13" x14ac:dyDescent="0.25">
      <c r="A30" s="5">
        <f t="shared" si="0"/>
        <v>2040</v>
      </c>
      <c r="B30" s="51">
        <f t="shared" si="3"/>
        <v>20</v>
      </c>
      <c r="C30" s="193"/>
      <c r="D30" s="330">
        <f t="shared" si="7"/>
        <v>1.1067895379208186</v>
      </c>
      <c r="E30" s="282">
        <f t="shared" si="8"/>
        <v>2910187.9864540575</v>
      </c>
      <c r="F30" s="208"/>
      <c r="G30" s="387">
        <v>1</v>
      </c>
      <c r="H30" s="330">
        <f t="shared" si="2"/>
        <v>1.5627380951111547</v>
      </c>
      <c r="I30" s="282">
        <f t="shared" si="6"/>
        <v>5557918.4129652176</v>
      </c>
      <c r="J30" s="2"/>
    </row>
    <row r="31" spans="1:13" x14ac:dyDescent="0.25">
      <c r="A31" s="5">
        <f t="shared" si="0"/>
        <v>2041</v>
      </c>
      <c r="B31" s="51">
        <f t="shared" si="3"/>
        <v>21</v>
      </c>
      <c r="C31" s="193"/>
      <c r="D31" s="330">
        <f t="shared" si="7"/>
        <v>1.1294787234481953</v>
      </c>
      <c r="E31" s="282">
        <f t="shared" si="8"/>
        <v>2969846.8401763658</v>
      </c>
      <c r="F31" s="208"/>
      <c r="G31" s="387">
        <v>1</v>
      </c>
      <c r="H31" s="330">
        <f t="shared" si="2"/>
        <v>1.5947742260609332</v>
      </c>
      <c r="I31" s="282">
        <f t="shared" si="6"/>
        <v>5671855.7404310042</v>
      </c>
      <c r="J31" s="2"/>
    </row>
    <row r="32" spans="1:13" ht="15" customHeight="1" x14ac:dyDescent="0.25">
      <c r="A32" s="5">
        <f t="shared" si="0"/>
        <v>2042</v>
      </c>
      <c r="B32" s="51">
        <f t="shared" si="3"/>
        <v>22</v>
      </c>
      <c r="C32" s="193"/>
      <c r="D32" s="330">
        <f t="shared" si="7"/>
        <v>1.1526330372788833</v>
      </c>
      <c r="E32" s="282">
        <f t="shared" si="8"/>
        <v>3030728.7003999813</v>
      </c>
      <c r="F32" s="208"/>
      <c r="G32" s="387">
        <v>1</v>
      </c>
      <c r="H32" s="330">
        <f t="shared" si="2"/>
        <v>1.6274670976951824</v>
      </c>
      <c r="I32" s="282">
        <f t="shared" si="6"/>
        <v>5788128.78310984</v>
      </c>
      <c r="J32" s="2"/>
    </row>
    <row r="33" spans="1:10" ht="15" customHeight="1" x14ac:dyDescent="0.25">
      <c r="A33" s="5">
        <f t="shared" si="0"/>
        <v>2043</v>
      </c>
      <c r="B33" s="51">
        <f t="shared" si="3"/>
        <v>23</v>
      </c>
      <c r="C33" s="193"/>
      <c r="D33" s="330">
        <f t="shared" si="7"/>
        <v>1.1762620145431004</v>
      </c>
      <c r="E33" s="282">
        <f t="shared" si="8"/>
        <v>3092858.6387581807</v>
      </c>
      <c r="F33" s="208"/>
      <c r="G33" s="387">
        <v>1</v>
      </c>
      <c r="H33" s="330">
        <f t="shared" si="2"/>
        <v>1.6608301731979336</v>
      </c>
      <c r="I33" s="282">
        <f t="shared" si="6"/>
        <v>5906785.423163591</v>
      </c>
      <c r="J33" s="2"/>
    </row>
    <row r="34" spans="1:10" x14ac:dyDescent="0.25">
      <c r="A34" s="5">
        <f t="shared" si="0"/>
        <v>2044</v>
      </c>
      <c r="B34" s="51">
        <f t="shared" si="3"/>
        <v>24</v>
      </c>
      <c r="C34" s="193"/>
      <c r="D34" s="330">
        <f t="shared" si="7"/>
        <v>1.200375385841234</v>
      </c>
      <c r="E34" s="282">
        <f t="shared" si="8"/>
        <v>3156262.2408527238</v>
      </c>
      <c r="F34" s="208"/>
      <c r="G34" s="387">
        <v>1</v>
      </c>
      <c r="H34" s="330">
        <f t="shared" si="2"/>
        <v>1.6948771917484911</v>
      </c>
      <c r="I34" s="282">
        <f t="shared" si="6"/>
        <v>6027874.5243384447</v>
      </c>
      <c r="J34" s="2"/>
    </row>
    <row r="35" spans="1:10" x14ac:dyDescent="0.25">
      <c r="A35" s="5">
        <f t="shared" si="0"/>
        <v>2045</v>
      </c>
      <c r="B35" s="51">
        <f t="shared" si="3"/>
        <v>25</v>
      </c>
      <c r="C35" s="193"/>
      <c r="D35" s="330">
        <f t="shared" si="7"/>
        <v>1.2249830812509792</v>
      </c>
      <c r="E35" s="282">
        <f t="shared" si="8"/>
        <v>3220965.6167902043</v>
      </c>
      <c r="F35" s="208"/>
      <c r="G35" s="387">
        <v>1</v>
      </c>
      <c r="H35" s="330">
        <f t="shared" si="2"/>
        <v>1.7296221741793349</v>
      </c>
      <c r="I35" s="282">
        <f t="shared" si="6"/>
        <v>6151445.9520873819</v>
      </c>
      <c r="J35" s="2"/>
    </row>
    <row r="36" spans="1:10" x14ac:dyDescent="0.25">
      <c r="A36" s="5">
        <f t="shared" si="0"/>
        <v>2046</v>
      </c>
      <c r="B36" s="51">
        <f t="shared" si="3"/>
        <v>26</v>
      </c>
      <c r="C36" s="193"/>
      <c r="D36" s="330">
        <f t="shared" si="7"/>
        <v>1.2500952344166243</v>
      </c>
      <c r="E36" s="282">
        <f t="shared" si="8"/>
        <v>3286995.4119344032</v>
      </c>
      <c r="F36" s="208"/>
      <c r="G36" s="387">
        <v>1</v>
      </c>
      <c r="H36" s="330">
        <f t="shared" si="2"/>
        <v>1.7650794287500113</v>
      </c>
      <c r="I36" s="282">
        <f t="shared" si="6"/>
        <v>6277550.5941051729</v>
      </c>
      <c r="J36" s="2"/>
    </row>
    <row r="37" spans="1:10" x14ac:dyDescent="0.25">
      <c r="A37" s="5">
        <f t="shared" si="0"/>
        <v>2047</v>
      </c>
      <c r="B37" s="51">
        <f t="shared" si="3"/>
        <v>27</v>
      </c>
      <c r="C37" s="193"/>
      <c r="D37" s="330">
        <f t="shared" si="7"/>
        <v>1.2757221867221651</v>
      </c>
      <c r="E37" s="282">
        <f t="shared" si="8"/>
        <v>3354378.8178790584</v>
      </c>
      <c r="F37" s="208"/>
      <c r="G37" s="387">
        <v>1</v>
      </c>
      <c r="H37" s="330">
        <f t="shared" si="2"/>
        <v>1.8012635570393865</v>
      </c>
      <c r="I37" s="282">
        <f t="shared" si="6"/>
        <v>6406240.3812843291</v>
      </c>
      <c r="J37" s="2"/>
    </row>
    <row r="38" spans="1:10" x14ac:dyDescent="0.25">
      <c r="A38" s="5">
        <f t="shared" si="0"/>
        <v>2048</v>
      </c>
      <c r="B38" s="51">
        <f t="shared" si="3"/>
        <v>28</v>
      </c>
      <c r="C38" s="193"/>
      <c r="D38" s="330">
        <f t="shared" si="7"/>
        <v>1.3018744915499694</v>
      </c>
      <c r="E38" s="282">
        <f t="shared" si="8"/>
        <v>3423143.5836455789</v>
      </c>
      <c r="F38" s="208"/>
      <c r="G38" s="387">
        <v>1</v>
      </c>
      <c r="H38" s="330">
        <f t="shared" si="2"/>
        <v>1.8381894599586939</v>
      </c>
      <c r="I38" s="282">
        <f t="shared" si="6"/>
        <v>6537568.3091006577</v>
      </c>
      <c r="J38" s="2"/>
    </row>
    <row r="39" spans="1:10" x14ac:dyDescent="0.25">
      <c r="A39" s="5">
        <f t="shared" si="0"/>
        <v>2049</v>
      </c>
      <c r="B39" s="51">
        <f t="shared" si="3"/>
        <v>29</v>
      </c>
      <c r="C39" s="193"/>
      <c r="D39" s="330">
        <f t="shared" si="7"/>
        <v>1.3285629186267436</v>
      </c>
      <c r="E39" s="282">
        <f t="shared" si="8"/>
        <v>3493318.0271103131</v>
      </c>
      <c r="F39" s="208"/>
      <c r="G39" s="387">
        <v>1</v>
      </c>
      <c r="H39" s="330">
        <f t="shared" si="2"/>
        <v>1.8758723438878471</v>
      </c>
      <c r="I39" s="282">
        <f t="shared" si="6"/>
        <v>6671588.4594372213</v>
      </c>
      <c r="J39" s="2"/>
    </row>
    <row r="40" spans="1:10" x14ac:dyDescent="0.25">
      <c r="A40" s="5">
        <f t="shared" si="0"/>
        <v>2050</v>
      </c>
      <c r="B40" s="51">
        <f t="shared" si="3"/>
        <v>30</v>
      </c>
      <c r="C40" s="193"/>
      <c r="D40" s="330">
        <f t="shared" si="7"/>
        <v>1.3557984584585918</v>
      </c>
      <c r="E40" s="282">
        <f t="shared" si="8"/>
        <v>3564931.0466660745</v>
      </c>
      <c r="F40" s="208"/>
      <c r="G40" s="387">
        <v>1</v>
      </c>
      <c r="H40" s="330">
        <f t="shared" si="2"/>
        <v>1.9143277269375478</v>
      </c>
      <c r="I40" s="282">
        <f t="shared" si="6"/>
        <v>6808356.0228556832</v>
      </c>
    </row>
    <row r="41" spans="1:10" x14ac:dyDescent="0.25">
      <c r="A41" s="5">
        <f t="shared" si="0"/>
        <v>2051</v>
      </c>
      <c r="B41" s="51">
        <f t="shared" si="3"/>
        <v>31</v>
      </c>
      <c r="C41" s="193"/>
      <c r="D41" s="330">
        <f t="shared" si="7"/>
        <v>1.383592326856993</v>
      </c>
      <c r="E41" s="282">
        <f t="shared" si="8"/>
        <v>3638012.1331227291</v>
      </c>
      <c r="F41" s="208"/>
      <c r="G41" s="387">
        <v>1</v>
      </c>
      <c r="H41" s="330">
        <f t="shared" si="2"/>
        <v>1.9535714453397675</v>
      </c>
      <c r="I41" s="282">
        <f t="shared" si="6"/>
        <v>6947927.3213242246</v>
      </c>
    </row>
    <row r="42" spans="1:10" ht="15" customHeight="1" x14ac:dyDescent="0.25">
      <c r="A42" s="5">
        <f t="shared" si="0"/>
        <v>2052</v>
      </c>
      <c r="B42" s="51">
        <f t="shared" si="3"/>
        <v>32</v>
      </c>
      <c r="C42" s="193"/>
      <c r="D42" s="330">
        <f t="shared" si="7"/>
        <v>1.4119559695575612</v>
      </c>
      <c r="E42" s="282">
        <f t="shared" si="8"/>
        <v>3712591.3818517444</v>
      </c>
      <c r="F42" s="208"/>
      <c r="G42" s="387">
        <v>1</v>
      </c>
      <c r="H42" s="330">
        <f t="shared" si="2"/>
        <v>1.9936196599692326</v>
      </c>
      <c r="I42" s="282">
        <f t="shared" si="6"/>
        <v>7090359.831411371</v>
      </c>
    </row>
    <row r="43" spans="1:10" x14ac:dyDescent="0.25">
      <c r="A43" s="5">
        <f t="shared" si="0"/>
        <v>2053</v>
      </c>
      <c r="B43" s="51">
        <f t="shared" si="3"/>
        <v>33</v>
      </c>
      <c r="C43" s="193"/>
      <c r="D43" s="330">
        <f t="shared" si="7"/>
        <v>1.4409010669334912</v>
      </c>
      <c r="E43" s="282">
        <f t="shared" si="8"/>
        <v>3788699.5051797051</v>
      </c>
      <c r="F43" s="214"/>
      <c r="G43" s="387">
        <v>1</v>
      </c>
      <c r="H43" s="330">
        <f t="shared" si="2"/>
        <v>2.034488862998602</v>
      </c>
      <c r="I43" s="282">
        <f t="shared" si="6"/>
        <v>7235712.2079553045</v>
      </c>
    </row>
    <row r="44" spans="1:10" x14ac:dyDescent="0.25">
      <c r="A44" s="5">
        <f t="shared" si="0"/>
        <v>2054</v>
      </c>
      <c r="B44" s="51">
        <f t="shared" si="3"/>
        <v>34</v>
      </c>
      <c r="C44" s="193"/>
      <c r="D44" s="330">
        <f t="shared" si="7"/>
        <v>1.4704395388056277</v>
      </c>
      <c r="E44" s="282">
        <f t="shared" si="8"/>
        <v>3866367.8450358892</v>
      </c>
      <c r="F44" s="214"/>
      <c r="G44" s="387">
        <v>1</v>
      </c>
      <c r="H44" s="330">
        <f t="shared" si="2"/>
        <v>2.0761958846900734</v>
      </c>
      <c r="I44" s="282">
        <f t="shared" si="6"/>
        <v>7384044.3082183888</v>
      </c>
    </row>
    <row r="45" spans="1:10" x14ac:dyDescent="0.25">
      <c r="A45" s="5">
        <f t="shared" si="0"/>
        <v>2055</v>
      </c>
      <c r="B45" s="51">
        <f t="shared" si="3"/>
        <v>35</v>
      </c>
      <c r="C45" s="193"/>
      <c r="D45" s="330">
        <f t="shared" si="7"/>
        <v>1.500583549351143</v>
      </c>
      <c r="E45" s="282">
        <f t="shared" si="8"/>
        <v>3945628.3858591248</v>
      </c>
      <c r="F45" s="214"/>
      <c r="G45" s="387">
        <v>1</v>
      </c>
      <c r="H45" s="330">
        <f t="shared" si="2"/>
        <v>2.1187579003262198</v>
      </c>
      <c r="I45" s="282">
        <f t="shared" si="6"/>
        <v>7535417.2165368656</v>
      </c>
    </row>
    <row r="46" spans="1:10" x14ac:dyDescent="0.25">
      <c r="A46" s="5">
        <f t="shared" si="0"/>
        <v>2056</v>
      </c>
      <c r="B46" s="51">
        <f t="shared" si="3"/>
        <v>36</v>
      </c>
      <c r="C46" s="193"/>
      <c r="D46" s="330">
        <f t="shared" si="7"/>
        <v>1.5313455121128414</v>
      </c>
      <c r="E46" s="282">
        <f t="shared" si="8"/>
        <v>4026513.7677692366</v>
      </c>
      <c r="F46" s="214"/>
      <c r="G46" s="387">
        <v>1</v>
      </c>
      <c r="H46" s="330">
        <f t="shared" si="2"/>
        <v>2.1621924372829073</v>
      </c>
      <c r="I46" s="282">
        <f t="shared" si="6"/>
        <v>7689893.2694758708</v>
      </c>
      <c r="J46" s="2"/>
    </row>
    <row r="47" spans="1:10" ht="15.75" thickBot="1" x14ac:dyDescent="0.3">
      <c r="A47" s="371">
        <f t="shared" si="0"/>
        <v>2057</v>
      </c>
      <c r="B47" s="120">
        <f t="shared" si="3"/>
        <v>37</v>
      </c>
      <c r="C47" s="386"/>
      <c r="D47" s="331">
        <f t="shared" si="7"/>
        <v>1.5627380951111547</v>
      </c>
      <c r="E47" s="283">
        <f t="shared" si="8"/>
        <v>4109057.300008506</v>
      </c>
      <c r="F47" s="214"/>
      <c r="G47" s="428">
        <v>1</v>
      </c>
      <c r="H47" s="331">
        <f t="shared" si="2"/>
        <v>2.2065173822472071</v>
      </c>
      <c r="I47" s="283">
        <f t="shared" si="6"/>
        <v>7847536.081500127</v>
      </c>
      <c r="J47" s="2"/>
    </row>
    <row r="48" spans="1:10" ht="15.75" thickBot="1" x14ac:dyDescent="0.3">
      <c r="J48" s="2"/>
    </row>
    <row r="49" spans="5:10" ht="15.75" thickBot="1" x14ac:dyDescent="0.3">
      <c r="E49" s="364">
        <f>SUM(E4:E47)</f>
        <v>95507808.141604692</v>
      </c>
      <c r="F49" s="209"/>
      <c r="I49" s="364">
        <f>SUM(I4:I47)</f>
        <v>182402170.55495495</v>
      </c>
      <c r="J49" s="2"/>
    </row>
    <row r="50" spans="5:10" x14ac:dyDescent="0.25">
      <c r="J50" s="2"/>
    </row>
    <row r="51" spans="5:10" x14ac:dyDescent="0.25">
      <c r="J51" s="2"/>
    </row>
    <row r="52" spans="5:10" x14ac:dyDescent="0.25">
      <c r="J52" s="2"/>
    </row>
    <row r="53" spans="5:10" x14ac:dyDescent="0.25">
      <c r="J53" s="3"/>
    </row>
    <row r="57" spans="5:10" ht="15" customHeight="1" x14ac:dyDescent="0.25"/>
    <row r="62" spans="5:10" ht="15" customHeight="1" x14ac:dyDescent="0.25"/>
    <row r="67" ht="15" customHeight="1" x14ac:dyDescent="0.25"/>
  </sheetData>
  <mergeCells count="8">
    <mergeCell ref="A2:A3"/>
    <mergeCell ref="B2:B3"/>
    <mergeCell ref="C2:C3"/>
    <mergeCell ref="E2:E3"/>
    <mergeCell ref="I2:I3"/>
    <mergeCell ref="D2:D3"/>
    <mergeCell ref="G2:G3"/>
    <mergeCell ref="H2:H3"/>
  </mergeCells>
  <pageMargins left="0.25" right="0.25" top="0.75" bottom="0.75" header="0.3" footer="0.3"/>
  <pageSetup paperSize="133"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F785C-4FB8-4E8A-9714-8E57BE5F7DDE}">
  <sheetPr>
    <pageSetUpPr fitToPage="1"/>
  </sheetPr>
  <dimension ref="A1:H54"/>
  <sheetViews>
    <sheetView view="pageBreakPreview" zoomScale="70" zoomScaleNormal="100" zoomScaleSheetLayoutView="70" workbookViewId="0">
      <selection activeCell="H47" sqref="H47"/>
    </sheetView>
  </sheetViews>
  <sheetFormatPr defaultRowHeight="15" x14ac:dyDescent="0.25"/>
  <cols>
    <col min="1" max="4" width="12.7109375" customWidth="1"/>
    <col min="5" max="5" width="14.7109375" customWidth="1"/>
    <col min="6" max="13" width="12.7109375" customWidth="1"/>
  </cols>
  <sheetData>
    <row r="1" spans="1:7" x14ac:dyDescent="0.25">
      <c r="A1" t="s">
        <v>76</v>
      </c>
    </row>
    <row r="3" spans="1:7" x14ac:dyDescent="0.25">
      <c r="D3" s="151" t="s">
        <v>77</v>
      </c>
      <c r="E3" s="152">
        <f>'Travel Time Calcs - AM'!G95</f>
        <v>286.2081064915219</v>
      </c>
      <c r="F3" s="155" t="s">
        <v>78</v>
      </c>
    </row>
    <row r="4" spans="1:7" x14ac:dyDescent="0.25">
      <c r="D4" s="151" t="s">
        <v>77</v>
      </c>
      <c r="E4" s="156">
        <f>'Travel Time Calcs - PM'!G95</f>
        <v>113.02882693660308</v>
      </c>
      <c r="F4" s="155" t="s">
        <v>80</v>
      </c>
    </row>
    <row r="6" spans="1:7" x14ac:dyDescent="0.25">
      <c r="D6" s="151" t="s">
        <v>79</v>
      </c>
      <c r="E6" s="152">
        <f>SUM(E3:E4)</f>
        <v>399.23693342812498</v>
      </c>
      <c r="F6" s="155" t="s">
        <v>81</v>
      </c>
    </row>
    <row r="7" spans="1:7" x14ac:dyDescent="0.25">
      <c r="F7" s="155" t="s">
        <v>82</v>
      </c>
    </row>
    <row r="8" spans="1:7" x14ac:dyDescent="0.25">
      <c r="F8" s="155"/>
    </row>
    <row r="9" spans="1:7" x14ac:dyDescent="0.25">
      <c r="E9" s="74">
        <v>5</v>
      </c>
      <c r="F9" s="155" t="s">
        <v>83</v>
      </c>
    </row>
    <row r="10" spans="1:7" x14ac:dyDescent="0.25">
      <c r="E10" s="157">
        <v>50</v>
      </c>
      <c r="F10" s="155" t="s">
        <v>84</v>
      </c>
    </row>
    <row r="11" spans="1:7" x14ac:dyDescent="0.25">
      <c r="E11" s="74">
        <f>E10*E9</f>
        <v>250</v>
      </c>
      <c r="F11" s="155" t="s">
        <v>85</v>
      </c>
    </row>
    <row r="12" spans="1:7" x14ac:dyDescent="0.25">
      <c r="E12" s="74"/>
      <c r="F12" s="155"/>
    </row>
    <row r="13" spans="1:7" x14ac:dyDescent="0.25">
      <c r="D13" s="151" t="s">
        <v>86</v>
      </c>
      <c r="E13" s="158">
        <f>E11*E6</f>
        <v>99809.233357031248</v>
      </c>
      <c r="F13" s="155" t="s">
        <v>87</v>
      </c>
    </row>
    <row r="14" spans="1:7" x14ac:dyDescent="0.25">
      <c r="E14" s="74"/>
      <c r="F14" s="155" t="s">
        <v>88</v>
      </c>
    </row>
    <row r="15" spans="1:7" ht="15.75" thickBot="1" x14ac:dyDescent="0.3">
      <c r="F15" s="155"/>
    </row>
    <row r="16" spans="1:7" ht="15" customHeight="1" x14ac:dyDescent="0.25">
      <c r="B16" s="585" t="s">
        <v>205</v>
      </c>
      <c r="C16" s="586"/>
      <c r="D16" s="587"/>
      <c r="E16" s="302" t="s">
        <v>194</v>
      </c>
      <c r="F16" s="301"/>
      <c r="G16" s="301"/>
    </row>
    <row r="17" spans="2:7" ht="15" customHeight="1" thickBot="1" x14ac:dyDescent="0.3">
      <c r="B17" s="588"/>
      <c r="C17" s="589"/>
      <c r="D17" s="590"/>
      <c r="E17" s="303" t="s">
        <v>36</v>
      </c>
      <c r="F17" s="304" t="s">
        <v>206</v>
      </c>
      <c r="G17" s="301"/>
    </row>
    <row r="18" spans="2:7" ht="15.75" thickBot="1" x14ac:dyDescent="0.3">
      <c r="B18" s="88" t="s">
        <v>204</v>
      </c>
      <c r="C18" s="159"/>
      <c r="D18" s="160" t="s">
        <v>270</v>
      </c>
      <c r="E18" s="303" t="s">
        <v>37</v>
      </c>
      <c r="F18" s="304" t="s">
        <v>208</v>
      </c>
    </row>
    <row r="19" spans="2:7" x14ac:dyDescent="0.25">
      <c r="B19" s="161" t="s">
        <v>89</v>
      </c>
      <c r="C19" s="162"/>
      <c r="D19" s="163"/>
      <c r="E19" s="303" t="s">
        <v>38</v>
      </c>
      <c r="F19" s="304" t="s">
        <v>210</v>
      </c>
    </row>
    <row r="20" spans="2:7" x14ac:dyDescent="0.25">
      <c r="B20" s="167" t="s">
        <v>17</v>
      </c>
      <c r="C20" s="89"/>
      <c r="D20" s="90">
        <v>15.2</v>
      </c>
    </row>
    <row r="21" spans="2:7" x14ac:dyDescent="0.25">
      <c r="B21" s="168" t="s">
        <v>18</v>
      </c>
      <c r="C21" s="91"/>
      <c r="D21" s="90">
        <v>27.1</v>
      </c>
    </row>
    <row r="22" spans="2:7" x14ac:dyDescent="0.25">
      <c r="B22" s="164"/>
      <c r="C22" s="165"/>
      <c r="D22" s="166"/>
    </row>
    <row r="23" spans="2:7" x14ac:dyDescent="0.25">
      <c r="B23" s="170" t="s">
        <v>91</v>
      </c>
      <c r="C23" s="171"/>
      <c r="D23" s="172"/>
    </row>
    <row r="24" spans="2:7" ht="15.75" thickBot="1" x14ac:dyDescent="0.3">
      <c r="B24" s="169" t="s">
        <v>90</v>
      </c>
      <c r="C24" s="92"/>
      <c r="D24" s="93">
        <v>29.5</v>
      </c>
    </row>
    <row r="25" spans="2:7" ht="15.75" thickBot="1" x14ac:dyDescent="0.3">
      <c r="B25" s="35"/>
      <c r="C25" s="35"/>
      <c r="D25" s="35"/>
    </row>
    <row r="26" spans="2:7" ht="30" customHeight="1" thickBot="1" x14ac:dyDescent="0.3">
      <c r="B26" s="579" t="s">
        <v>207</v>
      </c>
      <c r="C26" s="580"/>
      <c r="D26" s="581"/>
    </row>
    <row r="27" spans="2:7" x14ac:dyDescent="0.25">
      <c r="B27" s="173" t="s">
        <v>18</v>
      </c>
      <c r="C27" s="174"/>
      <c r="D27" s="175">
        <v>0.11799999999999999</v>
      </c>
    </row>
    <row r="28" spans="2:7" ht="15.75" thickBot="1" x14ac:dyDescent="0.3">
      <c r="B28" s="176" t="s">
        <v>19</v>
      </c>
      <c r="C28" s="177"/>
      <c r="D28" s="178">
        <v>0.88200000000000001</v>
      </c>
    </row>
    <row r="29" spans="2:7" ht="15.75" thickBot="1" x14ac:dyDescent="0.3">
      <c r="B29" s="35"/>
      <c r="C29" s="35"/>
      <c r="D29" s="35"/>
    </row>
    <row r="30" spans="2:7" ht="30" customHeight="1" thickBot="1" x14ac:dyDescent="0.3">
      <c r="B30" s="582" t="s">
        <v>209</v>
      </c>
      <c r="C30" s="583"/>
      <c r="D30" s="584"/>
    </row>
    <row r="31" spans="2:7" x14ac:dyDescent="0.25">
      <c r="B31" s="173" t="s">
        <v>92</v>
      </c>
      <c r="C31" s="174"/>
      <c r="D31" s="180">
        <v>1.48</v>
      </c>
    </row>
    <row r="32" spans="2:7" ht="15.75" thickBot="1" x14ac:dyDescent="0.3">
      <c r="B32" s="176" t="s">
        <v>93</v>
      </c>
      <c r="C32" s="177"/>
      <c r="D32" s="181">
        <v>1</v>
      </c>
    </row>
    <row r="33" spans="2:5" x14ac:dyDescent="0.25">
      <c r="B33" s="37"/>
      <c r="C33" s="9"/>
      <c r="D33" s="179"/>
    </row>
    <row r="35" spans="2:5" x14ac:dyDescent="0.25">
      <c r="B35" t="s">
        <v>94</v>
      </c>
      <c r="C35" s="182">
        <v>0.06</v>
      </c>
      <c r="D35" t="s">
        <v>95</v>
      </c>
    </row>
    <row r="36" spans="2:5" x14ac:dyDescent="0.25">
      <c r="C36" s="183">
        <v>0.94</v>
      </c>
      <c r="D36" t="s">
        <v>96</v>
      </c>
    </row>
    <row r="37" spans="2:5" x14ac:dyDescent="0.25">
      <c r="D37" s="186">
        <f>D27</f>
        <v>0.11799999999999999</v>
      </c>
      <c r="E37" t="s">
        <v>100</v>
      </c>
    </row>
    <row r="38" spans="2:5" x14ac:dyDescent="0.25">
      <c r="C38" s="183"/>
      <c r="D38" s="186">
        <f>D28</f>
        <v>0.88200000000000001</v>
      </c>
      <c r="E38" t="s">
        <v>101</v>
      </c>
    </row>
    <row r="40" spans="2:5" x14ac:dyDescent="0.25">
      <c r="D40" s="151" t="s">
        <v>97</v>
      </c>
      <c r="E40" t="s">
        <v>98</v>
      </c>
    </row>
    <row r="41" spans="2:5" x14ac:dyDescent="0.25">
      <c r="D41" s="184" t="s">
        <v>99</v>
      </c>
      <c r="E41" s="185">
        <f>C35*D24*D32</f>
        <v>1.77</v>
      </c>
    </row>
    <row r="43" spans="2:5" x14ac:dyDescent="0.25">
      <c r="D43" s="151" t="s">
        <v>102</v>
      </c>
      <c r="E43" t="s">
        <v>104</v>
      </c>
    </row>
    <row r="44" spans="2:5" x14ac:dyDescent="0.25">
      <c r="D44" s="184" t="s">
        <v>99</v>
      </c>
      <c r="E44" s="185">
        <f>D37*D21*D31</f>
        <v>4.7327440000000003</v>
      </c>
    </row>
    <row r="46" spans="2:5" x14ac:dyDescent="0.25">
      <c r="D46" s="151" t="s">
        <v>103</v>
      </c>
      <c r="E46" t="s">
        <v>105</v>
      </c>
    </row>
    <row r="47" spans="2:5" x14ac:dyDescent="0.25">
      <c r="D47" s="184" t="s">
        <v>99</v>
      </c>
      <c r="E47" s="185">
        <f>D38*D20*D31</f>
        <v>19.841472</v>
      </c>
    </row>
    <row r="49" spans="1:8" x14ac:dyDescent="0.25">
      <c r="D49" s="151" t="s">
        <v>106</v>
      </c>
      <c r="E49" t="s">
        <v>107</v>
      </c>
    </row>
    <row r="50" spans="1:8" x14ac:dyDescent="0.25">
      <c r="D50" s="184" t="s">
        <v>99</v>
      </c>
      <c r="E50" s="185">
        <f>SUM(E41+E44+E47)</f>
        <v>26.344215999999999</v>
      </c>
    </row>
    <row r="52" spans="1:8" x14ac:dyDescent="0.25">
      <c r="D52" s="151" t="s">
        <v>108</v>
      </c>
      <c r="E52" s="430">
        <f>E50*E13</f>
        <v>2629396.0023520361</v>
      </c>
      <c r="F52" t="s">
        <v>271</v>
      </c>
    </row>
    <row r="53" spans="1:8" x14ac:dyDescent="0.25">
      <c r="E53" s="35"/>
    </row>
    <row r="54" spans="1:8" x14ac:dyDescent="0.25">
      <c r="A54" s="267"/>
      <c r="B54" s="267"/>
      <c r="C54" s="267"/>
      <c r="D54" s="151" t="s">
        <v>318</v>
      </c>
      <c r="E54" s="430">
        <f>(E41+E44)*E13</f>
        <v>649033.89335703477</v>
      </c>
      <c r="F54" s="267" t="s">
        <v>271</v>
      </c>
      <c r="G54" s="267"/>
      <c r="H54" s="267"/>
    </row>
  </sheetData>
  <mergeCells count="3">
    <mergeCell ref="B26:D26"/>
    <mergeCell ref="B30:D30"/>
    <mergeCell ref="B16:D17"/>
  </mergeCells>
  <pageMargins left="0.7" right="0.7" top="0.75" bottom="0.75" header="0.3" footer="0.3"/>
  <pageSetup paperSize="133" scale="7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35C17-4579-4EC6-B0ED-2B290B0B3A93}">
  <sheetPr>
    <pageSetUpPr fitToPage="1"/>
  </sheetPr>
  <dimension ref="A1:G95"/>
  <sheetViews>
    <sheetView view="pageBreakPreview" zoomScale="90" zoomScaleNormal="100" zoomScaleSheetLayoutView="90" workbookViewId="0">
      <selection activeCell="B87" sqref="B87:G91"/>
    </sheetView>
  </sheetViews>
  <sheetFormatPr defaultRowHeight="15" x14ac:dyDescent="0.25"/>
  <cols>
    <col min="2" max="2" width="60.7109375" customWidth="1"/>
    <col min="7" max="7" width="10.7109375" customWidth="1"/>
    <col min="10" max="12" width="65.7109375" customWidth="1"/>
    <col min="15" max="15" width="10.7109375" customWidth="1"/>
  </cols>
  <sheetData>
    <row r="1" spans="1:7" x14ac:dyDescent="0.25">
      <c r="A1" t="s">
        <v>71</v>
      </c>
    </row>
    <row r="3" spans="1:7" ht="15.75" thickBot="1" x14ac:dyDescent="0.3"/>
    <row r="4" spans="1:7" ht="15.75" thickBot="1" x14ac:dyDescent="0.3">
      <c r="A4" s="129"/>
      <c r="B4" s="81"/>
      <c r="C4" s="594" t="s">
        <v>59</v>
      </c>
      <c r="D4" s="445"/>
      <c r="E4" s="594" t="s">
        <v>32</v>
      </c>
      <c r="F4" s="444"/>
      <c r="G4" s="445"/>
    </row>
    <row r="5" spans="1:7" ht="45" customHeight="1" thickBot="1" x14ac:dyDescent="0.3">
      <c r="A5" s="130"/>
      <c r="B5" s="131" t="s">
        <v>39</v>
      </c>
      <c r="C5" s="132" t="s">
        <v>58</v>
      </c>
      <c r="D5" s="133" t="s">
        <v>40</v>
      </c>
      <c r="E5" s="134" t="s">
        <v>58</v>
      </c>
      <c r="F5" s="135" t="s">
        <v>40</v>
      </c>
      <c r="G5" s="136" t="s">
        <v>66</v>
      </c>
    </row>
    <row r="6" spans="1:7" ht="15" customHeight="1" x14ac:dyDescent="0.25">
      <c r="A6" s="591" t="s">
        <v>57</v>
      </c>
      <c r="B6" s="146"/>
      <c r="C6" s="137"/>
      <c r="D6" s="138"/>
      <c r="E6" s="137"/>
      <c r="F6" s="139"/>
      <c r="G6" s="138"/>
    </row>
    <row r="7" spans="1:7" x14ac:dyDescent="0.25">
      <c r="A7" s="592"/>
      <c r="B7" s="147"/>
      <c r="C7" s="140"/>
      <c r="D7" s="141"/>
      <c r="E7" s="140"/>
      <c r="F7" s="142"/>
      <c r="G7" s="141"/>
    </row>
    <row r="8" spans="1:7" x14ac:dyDescent="0.25">
      <c r="A8" s="592"/>
      <c r="B8" s="147"/>
      <c r="C8" s="140"/>
      <c r="D8" s="141"/>
      <c r="E8" s="140"/>
      <c r="F8" s="142"/>
      <c r="G8" s="141"/>
    </row>
    <row r="9" spans="1:7" x14ac:dyDescent="0.25">
      <c r="A9" s="592"/>
      <c r="B9" s="147"/>
      <c r="C9" s="140"/>
      <c r="D9" s="141"/>
      <c r="E9" s="140"/>
      <c r="F9" s="142"/>
      <c r="G9" s="141"/>
    </row>
    <row r="10" spans="1:7" x14ac:dyDescent="0.25">
      <c r="A10" s="592"/>
      <c r="B10" s="147"/>
      <c r="C10" s="140"/>
      <c r="D10" s="141"/>
      <c r="E10" s="140"/>
      <c r="F10" s="142"/>
      <c r="G10" s="141"/>
    </row>
    <row r="11" spans="1:7" x14ac:dyDescent="0.25">
      <c r="A11" s="592"/>
      <c r="B11" s="147"/>
      <c r="C11" s="140"/>
      <c r="D11" s="141"/>
      <c r="E11" s="140"/>
      <c r="F11" s="142"/>
      <c r="G11" s="141"/>
    </row>
    <row r="12" spans="1:7" x14ac:dyDescent="0.25">
      <c r="A12" s="592"/>
      <c r="B12" s="148"/>
      <c r="C12" s="140"/>
      <c r="D12" s="141"/>
      <c r="E12" s="140"/>
      <c r="F12" s="142"/>
      <c r="G12" s="141"/>
    </row>
    <row r="13" spans="1:7" x14ac:dyDescent="0.25">
      <c r="A13" s="592"/>
      <c r="B13" s="147"/>
      <c r="C13" s="140"/>
      <c r="D13" s="141"/>
      <c r="E13" s="140"/>
      <c r="F13" s="142"/>
      <c r="G13" s="141"/>
    </row>
    <row r="14" spans="1:7" x14ac:dyDescent="0.25">
      <c r="A14" s="592"/>
      <c r="B14" s="147"/>
      <c r="C14" s="140"/>
      <c r="D14" s="141"/>
      <c r="E14" s="140"/>
      <c r="F14" s="142"/>
      <c r="G14" s="141"/>
    </row>
    <row r="15" spans="1:7" x14ac:dyDescent="0.25">
      <c r="A15" s="592"/>
      <c r="B15" s="147"/>
      <c r="C15" s="140"/>
      <c r="D15" s="141"/>
      <c r="E15" s="140"/>
      <c r="F15" s="142"/>
      <c r="G15" s="141"/>
    </row>
    <row r="16" spans="1:7" x14ac:dyDescent="0.25">
      <c r="A16" s="592"/>
      <c r="B16" s="147" t="s">
        <v>41</v>
      </c>
      <c r="C16" s="140">
        <v>2920</v>
      </c>
      <c r="D16" s="141">
        <v>7.4472619435946658E-2</v>
      </c>
      <c r="E16" s="140">
        <v>3412</v>
      </c>
      <c r="F16" s="142">
        <v>7.5164086331645813E-2</v>
      </c>
      <c r="G16" s="141">
        <f t="shared" ref="G16:G44" si="0">E16*(F16/60)</f>
        <v>4.2743310427262582</v>
      </c>
    </row>
    <row r="17" spans="1:7" x14ac:dyDescent="0.25">
      <c r="A17" s="592"/>
      <c r="B17" s="147" t="s">
        <v>42</v>
      </c>
      <c r="C17" s="140">
        <v>2920</v>
      </c>
      <c r="D17" s="141">
        <v>0.45456646941865564</v>
      </c>
      <c r="E17" s="140">
        <v>3412</v>
      </c>
      <c r="F17" s="142">
        <v>0.45552441908309321</v>
      </c>
      <c r="G17" s="141">
        <f t="shared" si="0"/>
        <v>25.904155298525232</v>
      </c>
    </row>
    <row r="18" spans="1:7" x14ac:dyDescent="0.25">
      <c r="A18" s="592"/>
      <c r="B18" s="147" t="s">
        <v>43</v>
      </c>
      <c r="C18" s="140">
        <v>2769</v>
      </c>
      <c r="D18" s="141">
        <v>0.16570005933189683</v>
      </c>
      <c r="E18" s="140">
        <v>3252</v>
      </c>
      <c r="F18" s="142">
        <v>0.1677593362471837</v>
      </c>
      <c r="G18" s="141">
        <f t="shared" si="0"/>
        <v>9.0925560245973553</v>
      </c>
    </row>
    <row r="19" spans="1:7" x14ac:dyDescent="0.25">
      <c r="A19" s="592"/>
      <c r="B19" s="147" t="s">
        <v>44</v>
      </c>
      <c r="C19" s="140">
        <v>2363</v>
      </c>
      <c r="D19" s="141">
        <v>0.27849702103863405</v>
      </c>
      <c r="E19" s="140">
        <v>2797</v>
      </c>
      <c r="F19" s="142">
        <v>0.28019759228608265</v>
      </c>
      <c r="G19" s="141">
        <f t="shared" si="0"/>
        <v>13.061877760402888</v>
      </c>
    </row>
    <row r="20" spans="1:7" x14ac:dyDescent="0.25">
      <c r="A20" s="592"/>
      <c r="B20" s="147" t="s">
        <v>45</v>
      </c>
      <c r="C20" s="140">
        <v>2659</v>
      </c>
      <c r="D20" s="141">
        <v>0.23825924548460711</v>
      </c>
      <c r="E20" s="140">
        <v>3095</v>
      </c>
      <c r="F20" s="142">
        <v>0.24068061244051453</v>
      </c>
      <c r="G20" s="141">
        <f t="shared" si="0"/>
        <v>12.415108258389875</v>
      </c>
    </row>
    <row r="21" spans="1:7" x14ac:dyDescent="0.25">
      <c r="A21" s="592"/>
      <c r="B21" s="147" t="s">
        <v>46</v>
      </c>
      <c r="C21" s="140">
        <v>2020</v>
      </c>
      <c r="D21" s="141">
        <v>0.33515643806092643</v>
      </c>
      <c r="E21" s="140">
        <v>2217</v>
      </c>
      <c r="F21" s="142">
        <v>0.33336424132151737</v>
      </c>
      <c r="G21" s="141">
        <f t="shared" si="0"/>
        <v>12.317808716830067</v>
      </c>
    </row>
    <row r="22" spans="1:7" x14ac:dyDescent="0.25">
      <c r="A22" s="592"/>
      <c r="B22" s="147" t="s">
        <v>46</v>
      </c>
      <c r="C22" s="140">
        <v>2020</v>
      </c>
      <c r="D22" s="141">
        <v>0.41742303334919406</v>
      </c>
      <c r="E22" s="140">
        <v>2217</v>
      </c>
      <c r="F22" s="142">
        <v>0.41686127581791155</v>
      </c>
      <c r="G22" s="141">
        <f t="shared" si="0"/>
        <v>15.403024141471832</v>
      </c>
    </row>
    <row r="23" spans="1:7" ht="15" customHeight="1" x14ac:dyDescent="0.25">
      <c r="A23" s="592"/>
      <c r="B23" s="147" t="s">
        <v>47</v>
      </c>
      <c r="C23" s="140">
        <v>3077</v>
      </c>
      <c r="D23" s="141">
        <v>0.85848854988207568</v>
      </c>
      <c r="E23" s="140">
        <v>3464</v>
      </c>
      <c r="F23" s="142">
        <v>0.85752801478548546</v>
      </c>
      <c r="G23" s="141">
        <f t="shared" si="0"/>
        <v>49.507950720282025</v>
      </c>
    </row>
    <row r="24" spans="1:7" ht="15.75" thickBot="1" x14ac:dyDescent="0.3">
      <c r="A24" s="593"/>
      <c r="B24" s="149" t="s">
        <v>48</v>
      </c>
      <c r="C24" s="143">
        <v>3077</v>
      </c>
      <c r="D24" s="144">
        <v>3.1357909986367747</v>
      </c>
      <c r="E24" s="143">
        <v>3464</v>
      </c>
      <c r="F24" s="145">
        <v>3.1285513153883691</v>
      </c>
      <c r="G24" s="144">
        <f t="shared" si="0"/>
        <v>180.62169594175518</v>
      </c>
    </row>
    <row r="25" spans="1:7" ht="15" customHeight="1" x14ac:dyDescent="0.25">
      <c r="A25" s="591" t="s">
        <v>56</v>
      </c>
      <c r="B25" s="146"/>
      <c r="C25" s="137"/>
      <c r="D25" s="138"/>
      <c r="E25" s="137"/>
      <c r="F25" s="139"/>
      <c r="G25" s="138"/>
    </row>
    <row r="26" spans="1:7" x14ac:dyDescent="0.25">
      <c r="A26" s="592"/>
      <c r="B26" s="147"/>
      <c r="C26" s="140"/>
      <c r="D26" s="141"/>
      <c r="E26" s="140"/>
      <c r="F26" s="142"/>
      <c r="G26" s="141"/>
    </row>
    <row r="27" spans="1:7" x14ac:dyDescent="0.25">
      <c r="A27" s="592"/>
      <c r="B27" s="147"/>
      <c r="C27" s="140"/>
      <c r="D27" s="141"/>
      <c r="E27" s="140"/>
      <c r="F27" s="142"/>
      <c r="G27" s="141"/>
    </row>
    <row r="28" spans="1:7" x14ac:dyDescent="0.25">
      <c r="A28" s="592"/>
      <c r="B28" s="147"/>
      <c r="C28" s="140"/>
      <c r="D28" s="141"/>
      <c r="E28" s="140"/>
      <c r="F28" s="142"/>
      <c r="G28" s="141"/>
    </row>
    <row r="29" spans="1:7" x14ac:dyDescent="0.25">
      <c r="A29" s="592"/>
      <c r="B29" s="147"/>
      <c r="C29" s="140"/>
      <c r="D29" s="141"/>
      <c r="E29" s="140"/>
      <c r="F29" s="142"/>
      <c r="G29" s="141"/>
    </row>
    <row r="30" spans="1:7" x14ac:dyDescent="0.25">
      <c r="A30" s="592"/>
      <c r="B30" s="150"/>
      <c r="C30" s="140"/>
      <c r="D30" s="141"/>
      <c r="E30" s="140"/>
      <c r="F30" s="142"/>
      <c r="G30" s="141"/>
    </row>
    <row r="31" spans="1:7" x14ac:dyDescent="0.25">
      <c r="A31" s="592"/>
      <c r="B31" s="147"/>
      <c r="C31" s="140"/>
      <c r="D31" s="141"/>
      <c r="E31" s="140"/>
      <c r="F31" s="142"/>
      <c r="G31" s="141"/>
    </row>
    <row r="32" spans="1:7" x14ac:dyDescent="0.25">
      <c r="A32" s="592"/>
      <c r="B32" s="147"/>
      <c r="C32" s="140"/>
      <c r="D32" s="141"/>
      <c r="E32" s="140"/>
      <c r="F32" s="142"/>
      <c r="G32" s="141"/>
    </row>
    <row r="33" spans="1:7" x14ac:dyDescent="0.25">
      <c r="A33" s="592"/>
      <c r="B33" s="147"/>
      <c r="C33" s="140"/>
      <c r="D33" s="141"/>
      <c r="E33" s="140"/>
      <c r="F33" s="142"/>
      <c r="G33" s="141"/>
    </row>
    <row r="34" spans="1:7" x14ac:dyDescent="0.25">
      <c r="A34" s="592"/>
      <c r="B34" s="147"/>
      <c r="C34" s="140"/>
      <c r="D34" s="141"/>
      <c r="E34" s="140"/>
      <c r="F34" s="142"/>
      <c r="G34" s="141"/>
    </row>
    <row r="35" spans="1:7" x14ac:dyDescent="0.25">
      <c r="A35" s="592"/>
      <c r="B35" s="147" t="s">
        <v>49</v>
      </c>
      <c r="C35" s="140">
        <v>3492</v>
      </c>
      <c r="D35" s="141">
        <v>0.69810706254265431</v>
      </c>
      <c r="E35" s="140">
        <v>3776</v>
      </c>
      <c r="F35" s="142">
        <v>1.5398297370518363</v>
      </c>
      <c r="G35" s="141">
        <f t="shared" si="0"/>
        <v>96.906618118462234</v>
      </c>
    </row>
    <row r="36" spans="1:7" x14ac:dyDescent="0.25">
      <c r="A36" s="592"/>
      <c r="B36" s="147" t="s">
        <v>50</v>
      </c>
      <c r="C36" s="140">
        <v>3492</v>
      </c>
      <c r="D36" s="141">
        <v>9.7225846541547326E-2</v>
      </c>
      <c r="E36" s="140">
        <v>3776</v>
      </c>
      <c r="F36" s="142">
        <v>0.3036950419707749</v>
      </c>
      <c r="G36" s="141">
        <f t="shared" si="0"/>
        <v>19.112541308027435</v>
      </c>
    </row>
    <row r="37" spans="1:7" x14ac:dyDescent="0.25">
      <c r="A37" s="592"/>
      <c r="B37" s="147" t="s">
        <v>44</v>
      </c>
      <c r="C37" s="140">
        <v>3051</v>
      </c>
      <c r="D37" s="141">
        <v>0.18703986043157256</v>
      </c>
      <c r="E37" s="140">
        <v>3270</v>
      </c>
      <c r="F37" s="142">
        <v>0.65623865722392671</v>
      </c>
      <c r="G37" s="141">
        <f t="shared" si="0"/>
        <v>35.765006818704002</v>
      </c>
    </row>
    <row r="38" spans="1:7" x14ac:dyDescent="0.25">
      <c r="A38" s="592"/>
      <c r="B38" s="147" t="s">
        <v>44</v>
      </c>
      <c r="C38" s="140">
        <v>3051</v>
      </c>
      <c r="D38" s="141">
        <v>0.11048793232875748</v>
      </c>
      <c r="E38" s="140">
        <v>3270</v>
      </c>
      <c r="F38" s="142">
        <v>0.38001682940494674</v>
      </c>
      <c r="G38" s="141">
        <f t="shared" si="0"/>
        <v>20.710917202569597</v>
      </c>
    </row>
    <row r="39" spans="1:7" x14ac:dyDescent="0.25">
      <c r="A39" s="592"/>
      <c r="B39" s="147" t="s">
        <v>51</v>
      </c>
      <c r="C39" s="140">
        <v>3302</v>
      </c>
      <c r="D39" s="141">
        <v>0.25391488724588879</v>
      </c>
      <c r="E39" s="140">
        <v>3560</v>
      </c>
      <c r="F39" s="142">
        <v>0.75958940032263167</v>
      </c>
      <c r="G39" s="141">
        <f t="shared" si="0"/>
        <v>45.06897108580948</v>
      </c>
    </row>
    <row r="40" spans="1:7" x14ac:dyDescent="0.25">
      <c r="A40" s="592"/>
      <c r="B40" s="147" t="s">
        <v>52</v>
      </c>
      <c r="C40" s="140">
        <v>3447</v>
      </c>
      <c r="D40" s="141">
        <v>0.27304152916139313</v>
      </c>
      <c r="E40" s="140">
        <v>3720</v>
      </c>
      <c r="F40" s="142">
        <v>0.74956156479613845</v>
      </c>
      <c r="G40" s="141">
        <f t="shared" si="0"/>
        <v>46.472817017360583</v>
      </c>
    </row>
    <row r="41" spans="1:7" x14ac:dyDescent="0.25">
      <c r="A41" s="592"/>
      <c r="B41" s="147" t="s">
        <v>53</v>
      </c>
      <c r="C41" s="140">
        <v>3447</v>
      </c>
      <c r="D41" s="141">
        <v>6.0460325215636455E-2</v>
      </c>
      <c r="E41" s="140">
        <v>3720</v>
      </c>
      <c r="F41" s="142">
        <v>0.19336677469125718</v>
      </c>
      <c r="G41" s="141">
        <f t="shared" si="0"/>
        <v>11.988740030857945</v>
      </c>
    </row>
    <row r="42" spans="1:7" ht="15" customHeight="1" x14ac:dyDescent="0.25">
      <c r="A42" s="592"/>
      <c r="B42" s="147" t="s">
        <v>54</v>
      </c>
      <c r="C42" s="140">
        <v>2290</v>
      </c>
      <c r="D42" s="141">
        <v>0.72920060576134982</v>
      </c>
      <c r="E42" s="140">
        <v>2537</v>
      </c>
      <c r="F42" s="142">
        <v>2.5015550896343286</v>
      </c>
      <c r="G42" s="141">
        <f t="shared" si="0"/>
        <v>105.77408770670486</v>
      </c>
    </row>
    <row r="43" spans="1:7" x14ac:dyDescent="0.25">
      <c r="A43" s="592"/>
      <c r="B43" s="147" t="s">
        <v>54</v>
      </c>
      <c r="C43" s="140">
        <v>2290</v>
      </c>
      <c r="D43" s="141">
        <v>9.3206096622359999E-2</v>
      </c>
      <c r="E43" s="140">
        <v>2537</v>
      </c>
      <c r="F43" s="142">
        <v>0.22444845834887675</v>
      </c>
      <c r="G43" s="141">
        <f t="shared" si="0"/>
        <v>9.4904289805183382</v>
      </c>
    </row>
    <row r="44" spans="1:7" ht="15.75" thickBot="1" x14ac:dyDescent="0.3">
      <c r="A44" s="593"/>
      <c r="B44" s="149" t="s">
        <v>55</v>
      </c>
      <c r="C44" s="143">
        <v>3039</v>
      </c>
      <c r="D44" s="144">
        <v>3.9171226271011617</v>
      </c>
      <c r="E44" s="143">
        <v>3361</v>
      </c>
      <c r="F44" s="145">
        <v>4.2029614539137201</v>
      </c>
      <c r="G44" s="144">
        <f t="shared" si="0"/>
        <v>235.43589077673354</v>
      </c>
    </row>
    <row r="46" spans="1:7" x14ac:dyDescent="0.25">
      <c r="F46" s="151" t="s">
        <v>67</v>
      </c>
      <c r="G46" s="152">
        <f>SUM(G6:G44)</f>
        <v>949.3245269507288</v>
      </c>
    </row>
    <row r="48" spans="1:7" ht="15.75" thickBot="1" x14ac:dyDescent="0.3"/>
    <row r="49" spans="1:7" ht="15.75" thickBot="1" x14ac:dyDescent="0.3">
      <c r="A49" s="129"/>
      <c r="B49" s="81"/>
      <c r="C49" s="81"/>
      <c r="D49" s="81"/>
      <c r="E49" s="594" t="s">
        <v>69</v>
      </c>
      <c r="F49" s="444"/>
      <c r="G49" s="445"/>
    </row>
    <row r="50" spans="1:7" ht="45.75" thickBot="1" x14ac:dyDescent="0.3">
      <c r="A50" s="130"/>
      <c r="B50" s="110"/>
      <c r="C50" s="110"/>
      <c r="D50" s="110"/>
      <c r="E50" s="134" t="s">
        <v>58</v>
      </c>
      <c r="F50" s="135" t="s">
        <v>40</v>
      </c>
      <c r="G50" s="136" t="s">
        <v>66</v>
      </c>
    </row>
    <row r="51" spans="1:7" x14ac:dyDescent="0.25">
      <c r="A51" s="592" t="s">
        <v>57</v>
      </c>
      <c r="B51" s="147"/>
      <c r="C51" s="125"/>
      <c r="D51" s="125"/>
      <c r="E51" s="137"/>
      <c r="F51" s="139"/>
      <c r="G51" s="138"/>
    </row>
    <row r="52" spans="1:7" x14ac:dyDescent="0.25">
      <c r="A52" s="592"/>
      <c r="B52" s="147"/>
      <c r="C52" s="125"/>
      <c r="D52" s="125"/>
      <c r="E52" s="140"/>
      <c r="F52" s="142"/>
      <c r="G52" s="141"/>
    </row>
    <row r="53" spans="1:7" x14ac:dyDescent="0.25">
      <c r="A53" s="592"/>
      <c r="B53" s="147"/>
      <c r="C53" s="125"/>
      <c r="D53" s="125"/>
      <c r="E53" s="140"/>
      <c r="F53" s="142"/>
      <c r="G53" s="141"/>
    </row>
    <row r="54" spans="1:7" x14ac:dyDescent="0.25">
      <c r="A54" s="592"/>
      <c r="B54" s="147"/>
      <c r="C54" s="125"/>
      <c r="D54" s="125"/>
      <c r="E54" s="140"/>
      <c r="F54" s="142"/>
      <c r="G54" s="141"/>
    </row>
    <row r="55" spans="1:7" x14ac:dyDescent="0.25">
      <c r="A55" s="592"/>
      <c r="B55" s="147"/>
      <c r="C55" s="125"/>
      <c r="D55" s="125"/>
      <c r="E55" s="140"/>
      <c r="F55" s="142"/>
      <c r="G55" s="141"/>
    </row>
    <row r="56" spans="1:7" x14ac:dyDescent="0.25">
      <c r="A56" s="592"/>
      <c r="B56" s="147"/>
      <c r="C56" s="125"/>
      <c r="D56" s="125"/>
      <c r="E56" s="140"/>
      <c r="F56" s="142"/>
      <c r="G56" s="141"/>
    </row>
    <row r="57" spans="1:7" x14ac:dyDescent="0.25">
      <c r="A57" s="592"/>
      <c r="B57" s="148"/>
      <c r="C57" s="106"/>
      <c r="D57" s="106"/>
      <c r="E57" s="140"/>
      <c r="F57" s="142"/>
      <c r="G57" s="141"/>
    </row>
    <row r="58" spans="1:7" x14ac:dyDescent="0.25">
      <c r="A58" s="592"/>
      <c r="B58" s="147"/>
      <c r="C58" s="125"/>
      <c r="D58" s="125"/>
      <c r="E58" s="140"/>
      <c r="F58" s="142"/>
      <c r="G58" s="141"/>
    </row>
    <row r="59" spans="1:7" x14ac:dyDescent="0.25">
      <c r="A59" s="592"/>
      <c r="B59" s="147" t="s">
        <v>41</v>
      </c>
      <c r="C59" s="125"/>
      <c r="D59" s="125"/>
      <c r="E59" s="140">
        <v>3445</v>
      </c>
      <c r="F59" s="142">
        <v>4.2589879898404022E-2</v>
      </c>
      <c r="G59" s="141">
        <f t="shared" ref="G59:G86" si="1">E59*(F59/60)</f>
        <v>2.4453689375000311</v>
      </c>
    </row>
    <row r="60" spans="1:7" x14ac:dyDescent="0.25">
      <c r="A60" s="592"/>
      <c r="B60" s="147" t="s">
        <v>60</v>
      </c>
      <c r="C60" s="125"/>
      <c r="D60" s="125"/>
      <c r="E60" s="140">
        <v>3445</v>
      </c>
      <c r="F60" s="142">
        <v>0.38924055565088156</v>
      </c>
      <c r="G60" s="141">
        <f t="shared" si="1"/>
        <v>22.348895236954785</v>
      </c>
    </row>
    <row r="61" spans="1:7" x14ac:dyDescent="0.25">
      <c r="A61" s="592"/>
      <c r="B61" s="147" t="s">
        <v>61</v>
      </c>
      <c r="C61" s="125"/>
      <c r="D61" s="125"/>
      <c r="E61" s="140">
        <v>3445</v>
      </c>
      <c r="F61" s="142">
        <v>0.35768131986717289</v>
      </c>
      <c r="G61" s="141">
        <f t="shared" si="1"/>
        <v>20.536869115706843</v>
      </c>
    </row>
    <row r="62" spans="1:7" x14ac:dyDescent="0.25">
      <c r="A62" s="592"/>
      <c r="B62" s="147" t="s">
        <v>62</v>
      </c>
      <c r="C62" s="125"/>
      <c r="D62" s="125"/>
      <c r="E62" s="140">
        <v>2829</v>
      </c>
      <c r="F62" s="142">
        <v>0.13810516085812136</v>
      </c>
      <c r="G62" s="141">
        <f t="shared" si="1"/>
        <v>6.5116583344604217</v>
      </c>
    </row>
    <row r="63" spans="1:7" x14ac:dyDescent="0.25">
      <c r="A63" s="592"/>
      <c r="B63" s="147" t="s">
        <v>63</v>
      </c>
      <c r="C63" s="125"/>
      <c r="D63" s="125"/>
      <c r="E63" s="140">
        <v>3174</v>
      </c>
      <c r="F63" s="142">
        <v>0.35240138679360999</v>
      </c>
      <c r="G63" s="141">
        <f t="shared" si="1"/>
        <v>18.642033361381966</v>
      </c>
    </row>
    <row r="64" spans="1:7" x14ac:dyDescent="0.25">
      <c r="A64" s="592"/>
      <c r="B64" s="147" t="s">
        <v>46</v>
      </c>
      <c r="C64" s="125"/>
      <c r="D64" s="125"/>
      <c r="E64" s="140">
        <v>2234</v>
      </c>
      <c r="F64" s="142">
        <v>0.34047380128419535</v>
      </c>
      <c r="G64" s="141">
        <f t="shared" si="1"/>
        <v>12.676974534481541</v>
      </c>
    </row>
    <row r="65" spans="1:7" x14ac:dyDescent="0.25">
      <c r="A65" s="592"/>
      <c r="B65" s="147" t="s">
        <v>46</v>
      </c>
      <c r="C65" s="125"/>
      <c r="D65" s="125"/>
      <c r="E65" s="140">
        <v>2234</v>
      </c>
      <c r="F65" s="142">
        <v>0.42359700108594162</v>
      </c>
      <c r="G65" s="141">
        <f t="shared" si="1"/>
        <v>15.771928340433227</v>
      </c>
    </row>
    <row r="66" spans="1:7" x14ac:dyDescent="0.25">
      <c r="A66" s="592"/>
      <c r="B66" s="147" t="s">
        <v>47</v>
      </c>
      <c r="C66" s="125"/>
      <c r="D66" s="125"/>
      <c r="E66" s="140">
        <v>3487</v>
      </c>
      <c r="F66" s="142">
        <v>0.87115439912594095</v>
      </c>
      <c r="G66" s="141">
        <f t="shared" si="1"/>
        <v>50.628589829202596</v>
      </c>
    </row>
    <row r="67" spans="1:7" ht="15.75" thickBot="1" x14ac:dyDescent="0.3">
      <c r="A67" s="592"/>
      <c r="B67" s="147" t="s">
        <v>48</v>
      </c>
      <c r="C67" s="125"/>
      <c r="D67" s="125"/>
      <c r="E67" s="140">
        <v>3487</v>
      </c>
      <c r="F67" s="142">
        <v>3.1624968964178057</v>
      </c>
      <c r="G67" s="141">
        <f t="shared" si="1"/>
        <v>183.79377796348146</v>
      </c>
    </row>
    <row r="68" spans="1:7" x14ac:dyDescent="0.25">
      <c r="A68" s="591" t="s">
        <v>56</v>
      </c>
      <c r="B68" s="146"/>
      <c r="C68" s="153"/>
      <c r="D68" s="153"/>
      <c r="E68" s="137"/>
      <c r="F68" s="139"/>
      <c r="G68" s="138"/>
    </row>
    <row r="69" spans="1:7" x14ac:dyDescent="0.25">
      <c r="A69" s="592"/>
      <c r="B69" s="147"/>
      <c r="C69" s="125"/>
      <c r="D69" s="125"/>
      <c r="E69" s="140"/>
      <c r="F69" s="142"/>
      <c r="G69" s="141"/>
    </row>
    <row r="70" spans="1:7" x14ac:dyDescent="0.25">
      <c r="A70" s="592"/>
      <c r="B70" s="147"/>
      <c r="C70" s="125"/>
      <c r="D70" s="125"/>
      <c r="E70" s="140"/>
      <c r="F70" s="142"/>
      <c r="G70" s="141"/>
    </row>
    <row r="71" spans="1:7" x14ac:dyDescent="0.25">
      <c r="A71" s="592"/>
      <c r="B71" s="147"/>
      <c r="C71" s="125"/>
      <c r="D71" s="125"/>
      <c r="E71" s="140"/>
      <c r="F71" s="142"/>
      <c r="G71" s="141"/>
    </row>
    <row r="72" spans="1:7" x14ac:dyDescent="0.25">
      <c r="A72" s="592"/>
      <c r="B72" s="147"/>
      <c r="C72" s="125"/>
      <c r="D72" s="125"/>
      <c r="E72" s="140"/>
      <c r="F72" s="142"/>
      <c r="G72" s="141"/>
    </row>
    <row r="73" spans="1:7" x14ac:dyDescent="0.25">
      <c r="A73" s="592"/>
      <c r="B73" s="147"/>
      <c r="C73" s="125"/>
      <c r="D73" s="125"/>
      <c r="E73" s="140"/>
      <c r="F73" s="142"/>
      <c r="G73" s="141"/>
    </row>
    <row r="74" spans="1:7" x14ac:dyDescent="0.25">
      <c r="A74" s="592"/>
      <c r="B74" s="147"/>
      <c r="C74" s="125"/>
      <c r="D74" s="125"/>
      <c r="E74" s="140"/>
      <c r="F74" s="142"/>
      <c r="G74" s="141"/>
    </row>
    <row r="75" spans="1:7" x14ac:dyDescent="0.25">
      <c r="A75" s="592"/>
      <c r="B75" s="147"/>
      <c r="C75" s="125"/>
      <c r="D75" s="125"/>
      <c r="E75" s="140"/>
      <c r="F75" s="142"/>
      <c r="G75" s="141"/>
    </row>
    <row r="76" spans="1:7" x14ac:dyDescent="0.25">
      <c r="A76" s="592"/>
      <c r="B76" s="150"/>
      <c r="C76" s="117"/>
      <c r="D76" s="117"/>
      <c r="E76" s="140"/>
      <c r="F76" s="142"/>
      <c r="G76" s="141"/>
    </row>
    <row r="77" spans="1:7" x14ac:dyDescent="0.25">
      <c r="A77" s="592"/>
      <c r="B77" s="147"/>
      <c r="C77" s="125"/>
      <c r="D77" s="125"/>
      <c r="E77" s="140"/>
      <c r="F77" s="142"/>
      <c r="G77" s="141"/>
    </row>
    <row r="78" spans="1:7" x14ac:dyDescent="0.25">
      <c r="A78" s="592"/>
      <c r="B78" s="147"/>
      <c r="C78" s="125"/>
      <c r="D78" s="125"/>
      <c r="E78" s="140"/>
      <c r="F78" s="142"/>
      <c r="G78" s="141"/>
    </row>
    <row r="79" spans="1:7" x14ac:dyDescent="0.25">
      <c r="A79" s="592"/>
      <c r="B79" s="147"/>
      <c r="C79" s="125"/>
      <c r="D79" s="125"/>
      <c r="E79" s="140"/>
      <c r="F79" s="142"/>
      <c r="G79" s="141"/>
    </row>
    <row r="80" spans="1:7" x14ac:dyDescent="0.25">
      <c r="A80" s="592"/>
      <c r="B80" s="147" t="s">
        <v>60</v>
      </c>
      <c r="C80" s="125"/>
      <c r="D80" s="125"/>
      <c r="E80" s="140">
        <v>3892</v>
      </c>
      <c r="F80" s="142">
        <v>0.24954143077337984</v>
      </c>
      <c r="G80" s="141">
        <f t="shared" si="1"/>
        <v>16.186920809499906</v>
      </c>
    </row>
    <row r="81" spans="1:7" x14ac:dyDescent="0.25">
      <c r="A81" s="592"/>
      <c r="B81" s="147" t="s">
        <v>50</v>
      </c>
      <c r="C81" s="125"/>
      <c r="D81" s="125"/>
      <c r="E81" s="140">
        <v>3892</v>
      </c>
      <c r="F81" s="142">
        <v>0.1564356611934283</v>
      </c>
      <c r="G81" s="141">
        <f t="shared" si="1"/>
        <v>10.147459889413716</v>
      </c>
    </row>
    <row r="82" spans="1:7" x14ac:dyDescent="0.25">
      <c r="A82" s="592"/>
      <c r="B82" s="147" t="s">
        <v>44</v>
      </c>
      <c r="C82" s="125"/>
      <c r="D82" s="125"/>
      <c r="E82" s="140">
        <v>3391</v>
      </c>
      <c r="F82" s="142">
        <v>0.14260673785496036</v>
      </c>
      <c r="G82" s="141">
        <f t="shared" si="1"/>
        <v>8.0596574677695099</v>
      </c>
    </row>
    <row r="83" spans="1:7" x14ac:dyDescent="0.25">
      <c r="A83" s="592"/>
      <c r="B83" s="147" t="s">
        <v>64</v>
      </c>
      <c r="C83" s="125"/>
      <c r="D83" s="125"/>
      <c r="E83" s="140">
        <v>3936</v>
      </c>
      <c r="F83" s="142">
        <v>0.23056186120140065</v>
      </c>
      <c r="G83" s="141">
        <f t="shared" si="1"/>
        <v>15.124858094811882</v>
      </c>
    </row>
    <row r="84" spans="1:7" x14ac:dyDescent="0.25">
      <c r="A84" s="592"/>
      <c r="B84" s="147" t="s">
        <v>65</v>
      </c>
      <c r="C84" s="125"/>
      <c r="D84" s="125"/>
      <c r="E84" s="140">
        <v>3936</v>
      </c>
      <c r="F84" s="142">
        <v>0.32578716923343293</v>
      </c>
      <c r="G84" s="141">
        <f t="shared" si="1"/>
        <v>21.371638301713197</v>
      </c>
    </row>
    <row r="85" spans="1:7" x14ac:dyDescent="0.25">
      <c r="A85" s="592"/>
      <c r="B85" s="147" t="s">
        <v>54</v>
      </c>
      <c r="C85" s="125"/>
      <c r="D85" s="125"/>
      <c r="E85" s="140">
        <v>2540</v>
      </c>
      <c r="F85" s="142">
        <v>0.74549567363092661</v>
      </c>
      <c r="G85" s="141">
        <f t="shared" si="1"/>
        <v>31.559316850375893</v>
      </c>
    </row>
    <row r="86" spans="1:7" ht="15.75" thickBot="1" x14ac:dyDescent="0.3">
      <c r="A86" s="593"/>
      <c r="B86" s="149" t="s">
        <v>55</v>
      </c>
      <c r="C86" s="154"/>
      <c r="D86" s="154"/>
      <c r="E86" s="143">
        <v>3364</v>
      </c>
      <c r="F86" s="145">
        <v>4.0542890616888236</v>
      </c>
      <c r="G86" s="144">
        <f t="shared" si="1"/>
        <v>227.31047339202001</v>
      </c>
    </row>
    <row r="87" spans="1:7" x14ac:dyDescent="0.25">
      <c r="A87" s="591" t="s">
        <v>68</v>
      </c>
      <c r="B87" s="146"/>
      <c r="C87" s="153"/>
      <c r="D87" s="153"/>
      <c r="E87" s="137"/>
      <c r="F87" s="139"/>
      <c r="G87" s="138"/>
    </row>
    <row r="88" spans="1:7" x14ac:dyDescent="0.25">
      <c r="A88" s="592"/>
      <c r="B88" s="147"/>
      <c r="C88" s="125"/>
      <c r="D88" s="125"/>
      <c r="E88" s="140"/>
      <c r="F88" s="142"/>
      <c r="G88" s="141"/>
    </row>
    <row r="89" spans="1:7" x14ac:dyDescent="0.25">
      <c r="A89" s="592"/>
      <c r="B89" s="147"/>
      <c r="C89" s="125"/>
      <c r="D89" s="125"/>
      <c r="E89" s="140"/>
      <c r="F89" s="142"/>
      <c r="G89" s="141"/>
    </row>
    <row r="90" spans="1:7" x14ac:dyDescent="0.25">
      <c r="A90" s="592"/>
      <c r="B90" s="147"/>
      <c r="C90" s="125"/>
      <c r="D90" s="125"/>
      <c r="E90" s="140"/>
      <c r="F90" s="142"/>
      <c r="G90" s="141"/>
    </row>
    <row r="91" spans="1:7" ht="15.75" thickBot="1" x14ac:dyDescent="0.3">
      <c r="A91" s="593"/>
      <c r="B91" s="149"/>
      <c r="C91" s="154"/>
      <c r="D91" s="154"/>
      <c r="E91" s="143"/>
      <c r="F91" s="145"/>
      <c r="G91" s="144"/>
    </row>
    <row r="93" spans="1:7" x14ac:dyDescent="0.25">
      <c r="F93" s="151" t="s">
        <v>70</v>
      </c>
      <c r="G93" s="152">
        <f>SUM(G51:G91)</f>
        <v>663.11642045920689</v>
      </c>
    </row>
    <row r="95" spans="1:7" x14ac:dyDescent="0.25">
      <c r="F95" s="151" t="s">
        <v>72</v>
      </c>
      <c r="G95" s="152">
        <f>G46-G93</f>
        <v>286.2081064915219</v>
      </c>
    </row>
  </sheetData>
  <mergeCells count="8">
    <mergeCell ref="A87:A91"/>
    <mergeCell ref="A6:A24"/>
    <mergeCell ref="A25:A44"/>
    <mergeCell ref="C4:D4"/>
    <mergeCell ref="E4:G4"/>
    <mergeCell ref="E49:G49"/>
    <mergeCell ref="A51:A67"/>
    <mergeCell ref="A68:A86"/>
  </mergeCells>
  <pageMargins left="0.7" right="0.7" top="0.75" bottom="0.75" header="0.3" footer="0.3"/>
  <pageSetup paperSize="133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9C17C-DC59-4CE9-AC77-C1DD5F9A429C}">
  <sheetPr>
    <pageSetUpPr fitToPage="1"/>
  </sheetPr>
  <dimension ref="A1:AF45"/>
  <sheetViews>
    <sheetView showGridLines="0" view="pageBreakPreview" zoomScale="85" zoomScaleNormal="100" zoomScaleSheetLayoutView="85" workbookViewId="0">
      <selection activeCell="AK13" sqref="AK13"/>
    </sheetView>
  </sheetViews>
  <sheetFormatPr defaultColWidth="3.7109375" defaultRowHeight="18.75" customHeight="1" x14ac:dyDescent="0.2"/>
  <cols>
    <col min="1" max="1" width="4.85546875" style="332" customWidth="1"/>
    <col min="2" max="31" width="3.28515625" style="332" customWidth="1"/>
    <col min="32" max="32" width="1.28515625" style="332" customWidth="1"/>
    <col min="33" max="16384" width="3.7109375" style="332"/>
  </cols>
  <sheetData>
    <row r="1" spans="1:32" ht="5.45" customHeight="1" x14ac:dyDescent="0.2">
      <c r="A1" s="355"/>
      <c r="B1" s="353"/>
      <c r="C1" s="353"/>
      <c r="D1" s="353"/>
      <c r="E1" s="353"/>
      <c r="F1" s="355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33"/>
    </row>
    <row r="2" spans="1:32" ht="14.25" customHeight="1" x14ac:dyDescent="0.25">
      <c r="A2" s="494" t="s">
        <v>247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349"/>
      <c r="Q2" s="349"/>
      <c r="R2" s="349" t="s">
        <v>246</v>
      </c>
      <c r="S2" s="348"/>
      <c r="T2" s="499" t="s">
        <v>214</v>
      </c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333"/>
    </row>
    <row r="3" spans="1:32" ht="14.25" customHeight="1" x14ac:dyDescent="0.2">
      <c r="A3" s="493" t="s">
        <v>245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349"/>
      <c r="Q3" s="349"/>
      <c r="R3" s="349" t="s">
        <v>244</v>
      </c>
      <c r="S3" s="333"/>
      <c r="T3" s="351"/>
      <c r="U3" s="354"/>
      <c r="V3" s="495">
        <v>1</v>
      </c>
      <c r="W3" s="495"/>
      <c r="X3" s="495"/>
      <c r="Y3" s="495"/>
      <c r="Z3" s="500" t="s">
        <v>243</v>
      </c>
      <c r="AA3" s="500"/>
      <c r="AB3" s="495"/>
      <c r="AC3" s="495"/>
      <c r="AD3" s="495"/>
      <c r="AE3" s="495"/>
      <c r="AF3" s="333"/>
    </row>
    <row r="4" spans="1:32" ht="14.25" customHeight="1" x14ac:dyDescent="0.2">
      <c r="A4" s="493" t="s">
        <v>242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349"/>
      <c r="Q4" s="349"/>
      <c r="R4" s="349" t="s">
        <v>241</v>
      </c>
      <c r="S4" s="333"/>
      <c r="T4" s="349"/>
      <c r="U4" s="347"/>
      <c r="V4" s="495" t="s">
        <v>257</v>
      </c>
      <c r="W4" s="495"/>
      <c r="X4" s="495"/>
      <c r="Y4" s="495"/>
      <c r="Z4" s="347" t="s">
        <v>239</v>
      </c>
      <c r="AA4" s="347"/>
      <c r="AB4" s="498">
        <v>43873</v>
      </c>
      <c r="AC4" s="498"/>
      <c r="AD4" s="498"/>
      <c r="AE4" s="498"/>
      <c r="AF4" s="333"/>
    </row>
    <row r="5" spans="1:32" ht="14.25" customHeight="1" x14ac:dyDescent="0.25">
      <c r="A5" s="333"/>
      <c r="B5" s="353"/>
      <c r="C5" s="352"/>
      <c r="D5" s="352"/>
      <c r="E5" s="352"/>
      <c r="F5" s="333"/>
      <c r="G5" s="350"/>
      <c r="H5" s="352"/>
      <c r="I5" s="352"/>
      <c r="J5" s="352"/>
      <c r="K5" s="352"/>
      <c r="L5" s="352"/>
      <c r="M5" s="352"/>
      <c r="N5" s="349"/>
      <c r="O5" s="349"/>
      <c r="P5" s="349"/>
      <c r="Q5" s="349"/>
      <c r="R5" s="349" t="s">
        <v>240</v>
      </c>
      <c r="S5" s="333"/>
      <c r="T5" s="349"/>
      <c r="U5" s="351"/>
      <c r="V5" s="495"/>
      <c r="W5" s="495"/>
      <c r="X5" s="495"/>
      <c r="Y5" s="495"/>
      <c r="Z5" s="347" t="s">
        <v>239</v>
      </c>
      <c r="AA5" s="347"/>
      <c r="AB5" s="496"/>
      <c r="AC5" s="497"/>
      <c r="AD5" s="497"/>
      <c r="AE5" s="497"/>
      <c r="AF5" s="333"/>
    </row>
    <row r="6" spans="1:32" ht="14.25" customHeight="1" x14ac:dyDescent="0.25">
      <c r="A6" s="333"/>
      <c r="C6" s="350"/>
      <c r="D6" s="350"/>
      <c r="E6" s="350"/>
      <c r="F6" s="333"/>
      <c r="G6" s="350"/>
      <c r="H6" s="350"/>
      <c r="I6" s="350"/>
      <c r="J6" s="350"/>
      <c r="K6" s="350"/>
      <c r="L6" s="350"/>
      <c r="M6" s="350"/>
      <c r="N6" s="349"/>
      <c r="O6" s="349"/>
      <c r="P6" s="349"/>
      <c r="Q6" s="349"/>
      <c r="R6" s="349" t="s">
        <v>238</v>
      </c>
      <c r="S6" s="348"/>
      <c r="T6" s="348"/>
      <c r="U6" s="348"/>
      <c r="V6" s="495">
        <v>17841</v>
      </c>
      <c r="W6" s="495"/>
      <c r="X6" s="495"/>
      <c r="Y6" s="495"/>
      <c r="Z6" s="347" t="s">
        <v>237</v>
      </c>
      <c r="AA6" s="347"/>
      <c r="AB6" s="495"/>
      <c r="AC6" s="495"/>
      <c r="AD6" s="495"/>
      <c r="AE6" s="495"/>
      <c r="AF6" s="333"/>
    </row>
    <row r="7" spans="1:32" ht="4.5" customHeight="1" thickBot="1" x14ac:dyDescent="0.25">
      <c r="A7" s="333"/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33"/>
    </row>
    <row r="8" spans="1:32" ht="18.75" customHeight="1" x14ac:dyDescent="0.2">
      <c r="A8" s="333"/>
      <c r="B8" s="345"/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3"/>
      <c r="AF8" s="333"/>
    </row>
    <row r="9" spans="1:32" ht="18.75" customHeight="1" x14ac:dyDescent="0.2">
      <c r="A9" s="333"/>
      <c r="B9" s="339"/>
      <c r="C9" s="338"/>
      <c r="D9" s="487" t="s">
        <v>258</v>
      </c>
      <c r="E9" s="488"/>
      <c r="F9" s="488"/>
      <c r="G9" s="488"/>
      <c r="H9" s="488"/>
      <c r="I9" s="488"/>
      <c r="J9" s="488"/>
      <c r="K9" s="488"/>
      <c r="L9" s="488"/>
      <c r="M9" s="488"/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  <c r="AA9" s="488"/>
      <c r="AB9" s="488"/>
      <c r="AC9" s="489"/>
      <c r="AD9" s="338"/>
      <c r="AE9" s="337"/>
      <c r="AF9" s="333"/>
    </row>
    <row r="10" spans="1:32" ht="18.75" customHeight="1" x14ac:dyDescent="0.2">
      <c r="A10" s="333"/>
      <c r="B10" s="339"/>
      <c r="C10" s="338"/>
      <c r="D10" s="490"/>
      <c r="E10" s="491"/>
      <c r="F10" s="491"/>
      <c r="G10" s="491"/>
      <c r="H10" s="491"/>
      <c r="I10" s="491"/>
      <c r="J10" s="491"/>
      <c r="K10" s="491"/>
      <c r="L10" s="491"/>
      <c r="M10" s="491"/>
      <c r="N10" s="491"/>
      <c r="O10" s="491"/>
      <c r="P10" s="491"/>
      <c r="Q10" s="491"/>
      <c r="R10" s="491"/>
      <c r="S10" s="491"/>
      <c r="T10" s="491"/>
      <c r="U10" s="491"/>
      <c r="V10" s="491"/>
      <c r="W10" s="491"/>
      <c r="X10" s="491"/>
      <c r="Y10" s="491"/>
      <c r="Z10" s="491"/>
      <c r="AA10" s="491"/>
      <c r="AB10" s="491"/>
      <c r="AC10" s="492"/>
      <c r="AD10" s="338"/>
      <c r="AE10" s="337"/>
      <c r="AF10" s="333"/>
    </row>
    <row r="11" spans="1:32" ht="18.75" customHeight="1" x14ac:dyDescent="0.2">
      <c r="A11" s="333"/>
      <c r="B11" s="339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7"/>
      <c r="AF11" s="333"/>
    </row>
    <row r="12" spans="1:32" ht="18.75" customHeight="1" x14ac:dyDescent="0.2">
      <c r="A12" s="333"/>
      <c r="B12" s="339"/>
      <c r="C12" s="341"/>
      <c r="D12" s="338" t="s">
        <v>248</v>
      </c>
      <c r="E12" s="338"/>
      <c r="F12" s="338"/>
      <c r="G12" s="338"/>
      <c r="H12" s="338"/>
      <c r="I12" s="338"/>
      <c r="J12" s="338"/>
      <c r="K12" s="356" t="s">
        <v>252</v>
      </c>
      <c r="L12" s="486">
        <v>2021</v>
      </c>
      <c r="M12" s="472"/>
      <c r="N12" s="472"/>
      <c r="O12" s="472"/>
      <c r="P12" s="473"/>
      <c r="Q12" s="338"/>
      <c r="R12" s="338"/>
      <c r="S12" s="338"/>
      <c r="T12" s="338"/>
      <c r="U12" s="338" t="s">
        <v>342</v>
      </c>
      <c r="V12" s="338"/>
      <c r="W12" s="338"/>
      <c r="X12" s="338"/>
      <c r="Y12" s="338"/>
      <c r="Z12" s="480">
        <v>11420000</v>
      </c>
      <c r="AA12" s="481"/>
      <c r="AB12" s="481"/>
      <c r="AC12" s="481"/>
      <c r="AD12" s="482"/>
      <c r="AE12" s="337"/>
      <c r="AF12" s="333"/>
    </row>
    <row r="13" spans="1:32" ht="18.75" customHeight="1" x14ac:dyDescent="0.2">
      <c r="A13" s="333"/>
      <c r="B13" s="339"/>
      <c r="C13" s="338"/>
      <c r="D13" s="338" t="s">
        <v>249</v>
      </c>
      <c r="E13" s="338"/>
      <c r="F13" s="338"/>
      <c r="G13" s="338"/>
      <c r="H13" s="338"/>
      <c r="I13" s="338"/>
      <c r="J13" s="338"/>
      <c r="K13" s="356" t="s">
        <v>252</v>
      </c>
      <c r="L13" s="486">
        <v>2024</v>
      </c>
      <c r="M13" s="472"/>
      <c r="N13" s="472"/>
      <c r="O13" s="472"/>
      <c r="P13" s="473"/>
      <c r="Q13" s="338"/>
      <c r="R13" s="338"/>
      <c r="S13" s="338"/>
      <c r="T13" s="338"/>
      <c r="U13" s="338" t="s">
        <v>340</v>
      </c>
      <c r="V13" s="338"/>
      <c r="W13" s="338"/>
      <c r="X13" s="338"/>
      <c r="Y13" s="338"/>
      <c r="Z13" s="480">
        <v>1700000</v>
      </c>
      <c r="AA13" s="481"/>
      <c r="AB13" s="481"/>
      <c r="AC13" s="481"/>
      <c r="AD13" s="482"/>
      <c r="AE13" s="337"/>
      <c r="AF13" s="333"/>
    </row>
    <row r="14" spans="1:32" ht="18.75" customHeight="1" x14ac:dyDescent="0.2">
      <c r="A14" s="333"/>
      <c r="B14" s="339"/>
      <c r="C14" s="338"/>
      <c r="D14" s="338" t="s">
        <v>339</v>
      </c>
      <c r="E14" s="338"/>
      <c r="F14" s="338"/>
      <c r="G14" s="338"/>
      <c r="H14" s="338"/>
      <c r="I14" s="338"/>
      <c r="J14" s="338"/>
      <c r="K14" s="356" t="s">
        <v>252</v>
      </c>
      <c r="L14" s="480">
        <f>SUM(Z12:AD15)</f>
        <v>15260000</v>
      </c>
      <c r="M14" s="481"/>
      <c r="N14" s="481"/>
      <c r="O14" s="481"/>
      <c r="P14" s="482"/>
      <c r="Q14" s="338"/>
      <c r="R14" s="338"/>
      <c r="S14" s="340"/>
      <c r="T14" s="338"/>
      <c r="U14" s="338" t="s">
        <v>341</v>
      </c>
      <c r="V14" s="338"/>
      <c r="W14" s="338"/>
      <c r="X14" s="338"/>
      <c r="Y14" s="338"/>
      <c r="Z14" s="480">
        <v>1140000</v>
      </c>
      <c r="AA14" s="481"/>
      <c r="AB14" s="481"/>
      <c r="AC14" s="481"/>
      <c r="AD14" s="482"/>
      <c r="AE14" s="337"/>
      <c r="AF14" s="333"/>
    </row>
    <row r="15" spans="1:32" ht="18.75" customHeight="1" x14ac:dyDescent="0.2">
      <c r="A15" s="333"/>
      <c r="B15" s="339"/>
      <c r="C15" s="338"/>
      <c r="D15" s="338" t="s">
        <v>253</v>
      </c>
      <c r="E15" s="338"/>
      <c r="F15" s="338"/>
      <c r="G15" s="338"/>
      <c r="H15" s="338"/>
      <c r="I15" s="338"/>
      <c r="J15" s="338"/>
      <c r="K15" s="356" t="s">
        <v>252</v>
      </c>
      <c r="L15" s="483">
        <f>L14/((L13-L12)+1)</f>
        <v>3815000</v>
      </c>
      <c r="M15" s="484"/>
      <c r="N15" s="484"/>
      <c r="O15" s="484"/>
      <c r="P15" s="485"/>
      <c r="Q15" s="338"/>
      <c r="R15" s="338"/>
      <c r="S15" s="340"/>
      <c r="T15" s="338"/>
      <c r="U15" s="432" t="s">
        <v>343</v>
      </c>
      <c r="V15" s="342"/>
      <c r="W15" s="338"/>
      <c r="X15" s="338"/>
      <c r="Y15" s="338"/>
      <c r="Z15" s="480">
        <v>1000000</v>
      </c>
      <c r="AA15" s="481"/>
      <c r="AB15" s="481"/>
      <c r="AC15" s="481"/>
      <c r="AD15" s="482"/>
      <c r="AE15" s="337"/>
      <c r="AF15" s="333"/>
    </row>
    <row r="16" spans="1:32" ht="18.75" customHeight="1" x14ac:dyDescent="0.2">
      <c r="A16" s="333"/>
      <c r="B16" s="339"/>
      <c r="C16" s="342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40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337"/>
      <c r="AF16" s="333"/>
    </row>
    <row r="17" spans="1:32" ht="18.75" customHeight="1" x14ac:dyDescent="0.2">
      <c r="A17" s="333"/>
      <c r="B17" s="339"/>
      <c r="C17" s="338"/>
      <c r="D17" s="338" t="s">
        <v>250</v>
      </c>
      <c r="E17" s="338"/>
      <c r="F17" s="338"/>
      <c r="G17" s="338"/>
      <c r="H17" s="338"/>
      <c r="I17" s="338"/>
      <c r="J17" s="338"/>
      <c r="K17" s="356" t="s">
        <v>252</v>
      </c>
      <c r="L17" s="486">
        <v>2023</v>
      </c>
      <c r="M17" s="472"/>
      <c r="N17" s="472"/>
      <c r="O17" s="472"/>
      <c r="P17" s="473"/>
      <c r="Q17" s="338"/>
      <c r="R17" s="338"/>
      <c r="S17" s="340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7"/>
      <c r="AF17" s="333"/>
    </row>
    <row r="18" spans="1:32" ht="18.75" customHeight="1" x14ac:dyDescent="0.2">
      <c r="A18" s="333"/>
      <c r="B18" s="339"/>
      <c r="C18" s="338"/>
      <c r="D18" s="338" t="s">
        <v>251</v>
      </c>
      <c r="E18" s="338"/>
      <c r="F18" s="338"/>
      <c r="G18" s="338"/>
      <c r="H18" s="338"/>
      <c r="I18" s="338"/>
      <c r="J18" s="338"/>
      <c r="K18" s="356" t="s">
        <v>252</v>
      </c>
      <c r="L18" s="486">
        <v>2026</v>
      </c>
      <c r="M18" s="472"/>
      <c r="N18" s="472"/>
      <c r="O18" s="472"/>
      <c r="P18" s="473"/>
      <c r="Q18" s="338"/>
      <c r="R18" s="338"/>
      <c r="S18" s="340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7"/>
      <c r="AF18" s="333"/>
    </row>
    <row r="19" spans="1:32" ht="18.75" customHeight="1" x14ac:dyDescent="0.2">
      <c r="A19" s="333"/>
      <c r="B19" s="339"/>
      <c r="C19" s="338"/>
      <c r="D19" s="338" t="s">
        <v>254</v>
      </c>
      <c r="E19" s="338"/>
      <c r="F19" s="338"/>
      <c r="G19" s="338"/>
      <c r="H19" s="338"/>
      <c r="I19" s="338"/>
      <c r="J19" s="338"/>
      <c r="K19" s="356" t="s">
        <v>252</v>
      </c>
      <c r="L19" s="480">
        <v>114200000</v>
      </c>
      <c r="M19" s="481"/>
      <c r="N19" s="481"/>
      <c r="O19" s="481"/>
      <c r="P19" s="482"/>
      <c r="Q19" s="338"/>
      <c r="R19" s="338"/>
      <c r="S19" s="340"/>
      <c r="T19" s="338"/>
      <c r="U19" s="338"/>
      <c r="V19" s="338"/>
      <c r="W19" s="338"/>
      <c r="X19" s="338"/>
      <c r="Y19" s="338"/>
      <c r="Z19" s="338"/>
      <c r="AA19" s="338"/>
      <c r="AB19" s="338"/>
      <c r="AC19" s="338"/>
      <c r="AD19" s="338"/>
      <c r="AE19" s="337"/>
      <c r="AF19" s="333"/>
    </row>
    <row r="20" spans="1:32" ht="18.75" customHeight="1" x14ac:dyDescent="0.2">
      <c r="A20" s="333"/>
      <c r="B20" s="339"/>
      <c r="C20" s="341"/>
      <c r="D20" s="338" t="s">
        <v>255</v>
      </c>
      <c r="E20" s="338"/>
      <c r="F20" s="338"/>
      <c r="G20" s="338"/>
      <c r="H20" s="338"/>
      <c r="I20" s="338"/>
      <c r="J20" s="338"/>
      <c r="K20" s="356" t="s">
        <v>252</v>
      </c>
      <c r="L20" s="483">
        <f>L19/((L18-L17)+1)</f>
        <v>28550000</v>
      </c>
      <c r="M20" s="484"/>
      <c r="N20" s="484"/>
      <c r="O20" s="484"/>
      <c r="P20" s="485"/>
      <c r="Q20" s="338"/>
      <c r="R20" s="338"/>
      <c r="S20" s="340"/>
      <c r="T20" s="338"/>
      <c r="U20" s="340"/>
      <c r="V20" s="338"/>
      <c r="W20" s="338"/>
      <c r="X20" s="338"/>
      <c r="Y20" s="338"/>
      <c r="Z20" s="338"/>
      <c r="AA20" s="338"/>
      <c r="AB20" s="338"/>
      <c r="AC20" s="338"/>
      <c r="AD20" s="338"/>
      <c r="AE20" s="337"/>
      <c r="AF20" s="333"/>
    </row>
    <row r="21" spans="1:32" ht="18.75" customHeight="1" x14ac:dyDescent="0.2">
      <c r="A21" s="333"/>
      <c r="B21" s="339"/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40"/>
      <c r="T21" s="338"/>
      <c r="U21" s="338"/>
      <c r="V21" s="338"/>
      <c r="W21" s="338"/>
      <c r="X21" s="338"/>
      <c r="Y21" s="338"/>
      <c r="Z21" s="338"/>
      <c r="AA21" s="338"/>
      <c r="AB21" s="338"/>
      <c r="AC21" s="338"/>
      <c r="AD21" s="338"/>
      <c r="AE21" s="337"/>
      <c r="AF21" s="333"/>
    </row>
    <row r="22" spans="1:32" ht="18.75" customHeight="1" x14ac:dyDescent="0.2">
      <c r="A22" s="333"/>
      <c r="B22" s="339"/>
      <c r="C22" s="338"/>
      <c r="D22" s="338" t="s">
        <v>256</v>
      </c>
      <c r="E22" s="338"/>
      <c r="F22" s="338"/>
      <c r="G22" s="338"/>
      <c r="H22" s="338"/>
      <c r="I22" s="338"/>
      <c r="J22" s="338"/>
      <c r="K22" s="356" t="s">
        <v>252</v>
      </c>
      <c r="L22" s="486">
        <v>2027</v>
      </c>
      <c r="M22" s="472"/>
      <c r="N22" s="472"/>
      <c r="O22" s="472"/>
      <c r="P22" s="473"/>
      <c r="Q22" s="338"/>
      <c r="R22" s="338"/>
      <c r="S22" s="340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7"/>
      <c r="AF22" s="333"/>
    </row>
    <row r="23" spans="1:32" ht="18.75" customHeight="1" x14ac:dyDescent="0.2">
      <c r="A23" s="333"/>
      <c r="B23" s="339"/>
      <c r="C23" s="338"/>
      <c r="D23" s="338"/>
      <c r="E23" s="338"/>
      <c r="F23" s="338"/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8"/>
      <c r="S23" s="340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38"/>
      <c r="AE23" s="337"/>
      <c r="AF23" s="333"/>
    </row>
    <row r="24" spans="1:32" ht="18.75" customHeight="1" x14ac:dyDescent="0.2">
      <c r="A24" s="333"/>
      <c r="B24" s="339"/>
      <c r="C24" s="338"/>
      <c r="D24" s="342" t="s">
        <v>259</v>
      </c>
      <c r="E24" s="338"/>
      <c r="F24" s="338"/>
      <c r="G24" s="338"/>
      <c r="H24" s="338"/>
      <c r="I24" s="338"/>
      <c r="J24" s="338"/>
      <c r="K24" s="356" t="s">
        <v>252</v>
      </c>
      <c r="L24" s="469">
        <v>30</v>
      </c>
      <c r="M24" s="470"/>
      <c r="N24" s="470"/>
      <c r="O24" s="470"/>
      <c r="P24" s="471"/>
      <c r="Q24" s="338"/>
      <c r="R24" s="338"/>
      <c r="S24" s="338"/>
      <c r="T24" s="338"/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37"/>
      <c r="AF24" s="333"/>
    </row>
    <row r="25" spans="1:32" ht="18.75" customHeight="1" x14ac:dyDescent="0.2">
      <c r="A25" s="333"/>
      <c r="B25" s="339"/>
      <c r="C25" s="338"/>
      <c r="D25" s="338"/>
      <c r="E25" s="338"/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7"/>
      <c r="AF25" s="333"/>
    </row>
    <row r="26" spans="1:32" ht="18.75" customHeight="1" x14ac:dyDescent="0.2">
      <c r="A26" s="333"/>
      <c r="B26" s="339"/>
      <c r="C26" s="338"/>
      <c r="D26" s="342" t="s">
        <v>260</v>
      </c>
      <c r="E26" s="338"/>
      <c r="F26" s="338"/>
      <c r="G26" s="338"/>
      <c r="H26" s="338"/>
      <c r="I26" s="338"/>
      <c r="J26" s="338"/>
      <c r="K26" s="356" t="s">
        <v>252</v>
      </c>
      <c r="L26" s="469">
        <f>L22+L24</f>
        <v>2057</v>
      </c>
      <c r="M26" s="472"/>
      <c r="N26" s="472"/>
      <c r="O26" s="472"/>
      <c r="P26" s="473"/>
      <c r="Q26" s="338"/>
      <c r="R26" s="338"/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7"/>
      <c r="AF26" s="333"/>
    </row>
    <row r="27" spans="1:32" ht="18.75" customHeight="1" thickBot="1" x14ac:dyDescent="0.25">
      <c r="A27" s="333"/>
      <c r="B27" s="339"/>
      <c r="C27" s="338"/>
      <c r="D27" s="358"/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358"/>
      <c r="V27" s="358"/>
      <c r="W27" s="358"/>
      <c r="X27" s="358"/>
      <c r="Y27" s="338"/>
      <c r="Z27" s="338"/>
      <c r="AA27" s="338"/>
      <c r="AB27" s="338"/>
      <c r="AC27" s="338"/>
      <c r="AD27" s="338"/>
      <c r="AE27" s="337"/>
      <c r="AF27" s="333"/>
    </row>
    <row r="28" spans="1:32" ht="18.75" customHeight="1" x14ac:dyDescent="0.2">
      <c r="A28" s="333"/>
      <c r="B28" s="339"/>
      <c r="C28" s="338"/>
      <c r="D28" s="474" t="s">
        <v>0</v>
      </c>
      <c r="E28" s="475"/>
      <c r="F28" s="475"/>
      <c r="G28" s="475" t="s">
        <v>22</v>
      </c>
      <c r="H28" s="475"/>
      <c r="I28" s="475"/>
      <c r="J28" s="458" t="s">
        <v>261</v>
      </c>
      <c r="K28" s="459"/>
      <c r="L28" s="459"/>
      <c r="M28" s="459"/>
      <c r="N28" s="459"/>
      <c r="O28" s="458" t="s">
        <v>254</v>
      </c>
      <c r="P28" s="459"/>
      <c r="Q28" s="459"/>
      <c r="R28" s="459"/>
      <c r="S28" s="459"/>
      <c r="T28" s="458" t="s">
        <v>262</v>
      </c>
      <c r="U28" s="459"/>
      <c r="V28" s="459"/>
      <c r="W28" s="459"/>
      <c r="X28" s="460"/>
      <c r="Y28" s="357"/>
      <c r="Z28" s="338"/>
      <c r="AA28" s="338"/>
      <c r="AB28" s="338"/>
      <c r="AC28" s="338"/>
      <c r="AD28" s="338"/>
      <c r="AE28" s="337"/>
      <c r="AF28" s="333"/>
    </row>
    <row r="29" spans="1:32" ht="18.75" customHeight="1" thickBot="1" x14ac:dyDescent="0.25">
      <c r="A29" s="333"/>
      <c r="B29" s="339"/>
      <c r="C29" s="338"/>
      <c r="D29" s="476"/>
      <c r="E29" s="477"/>
      <c r="F29" s="477"/>
      <c r="G29" s="477"/>
      <c r="H29" s="477"/>
      <c r="I29" s="477"/>
      <c r="J29" s="461"/>
      <c r="K29" s="461"/>
      <c r="L29" s="461"/>
      <c r="M29" s="461"/>
      <c r="N29" s="461"/>
      <c r="O29" s="461"/>
      <c r="P29" s="461"/>
      <c r="Q29" s="461"/>
      <c r="R29" s="461"/>
      <c r="S29" s="461"/>
      <c r="T29" s="461"/>
      <c r="U29" s="461"/>
      <c r="V29" s="461"/>
      <c r="W29" s="461"/>
      <c r="X29" s="462"/>
      <c r="Y29" s="357"/>
      <c r="Z29" s="338"/>
      <c r="AA29" s="338"/>
      <c r="AB29" s="338"/>
      <c r="AC29" s="338"/>
      <c r="AD29" s="338"/>
      <c r="AE29" s="337"/>
      <c r="AF29" s="333"/>
    </row>
    <row r="30" spans="1:32" ht="18.75" customHeight="1" x14ac:dyDescent="0.25">
      <c r="A30" s="333"/>
      <c r="B30" s="339"/>
      <c r="C30" s="338"/>
      <c r="D30" s="478">
        <v>2021</v>
      </c>
      <c r="E30" s="479"/>
      <c r="F30" s="479"/>
      <c r="G30" s="479">
        <v>1</v>
      </c>
      <c r="H30" s="479"/>
      <c r="I30" s="479"/>
      <c r="J30" s="463">
        <f>$L$15</f>
        <v>3815000</v>
      </c>
      <c r="K30" s="463"/>
      <c r="L30" s="463"/>
      <c r="M30" s="463"/>
      <c r="N30" s="463"/>
      <c r="O30" s="463"/>
      <c r="P30" s="463"/>
      <c r="Q30" s="463"/>
      <c r="R30" s="463"/>
      <c r="S30" s="463"/>
      <c r="T30" s="463">
        <f>J30+O30</f>
        <v>3815000</v>
      </c>
      <c r="U30" s="463"/>
      <c r="V30" s="463"/>
      <c r="W30" s="463"/>
      <c r="X30" s="464"/>
      <c r="Y30" s="357"/>
      <c r="Z30" s="338"/>
      <c r="AA30" s="338"/>
      <c r="AB30" s="338"/>
      <c r="AC30" s="338"/>
      <c r="AD30" s="338"/>
      <c r="AE30" s="337"/>
      <c r="AF30" s="333"/>
    </row>
    <row r="31" spans="1:32" ht="18.75" customHeight="1" x14ac:dyDescent="0.25">
      <c r="A31" s="333"/>
      <c r="B31" s="339"/>
      <c r="C31" s="338"/>
      <c r="D31" s="468">
        <f t="shared" ref="D31:D43" si="0">1+D30:D30</f>
        <v>2022</v>
      </c>
      <c r="E31" s="466"/>
      <c r="F31" s="466"/>
      <c r="G31" s="466">
        <f t="shared" ref="G31:G43" si="1">G30+1</f>
        <v>2</v>
      </c>
      <c r="H31" s="466"/>
      <c r="I31" s="466"/>
      <c r="J31" s="454">
        <f>$L$15</f>
        <v>3815000</v>
      </c>
      <c r="K31" s="454"/>
      <c r="L31" s="454"/>
      <c r="M31" s="454"/>
      <c r="N31" s="454"/>
      <c r="O31" s="454"/>
      <c r="P31" s="454"/>
      <c r="Q31" s="454"/>
      <c r="R31" s="454"/>
      <c r="S31" s="454"/>
      <c r="T31" s="452">
        <f t="shared" ref="T31:T43" si="2">J31+O31</f>
        <v>3815000</v>
      </c>
      <c r="U31" s="452"/>
      <c r="V31" s="452"/>
      <c r="W31" s="452"/>
      <c r="X31" s="453"/>
      <c r="Y31" s="357"/>
      <c r="Z31" s="338"/>
      <c r="AA31" s="338"/>
      <c r="AB31" s="338"/>
      <c r="AC31" s="338"/>
      <c r="AD31" s="338"/>
      <c r="AE31" s="337"/>
      <c r="AF31" s="333"/>
    </row>
    <row r="32" spans="1:32" ht="18.75" customHeight="1" x14ac:dyDescent="0.25">
      <c r="A32" s="333"/>
      <c r="B32" s="339"/>
      <c r="C32" s="338"/>
      <c r="D32" s="468">
        <f t="shared" si="0"/>
        <v>2023</v>
      </c>
      <c r="E32" s="466"/>
      <c r="F32" s="466"/>
      <c r="G32" s="466">
        <f t="shared" si="1"/>
        <v>3</v>
      </c>
      <c r="H32" s="466"/>
      <c r="I32" s="466"/>
      <c r="J32" s="454">
        <f t="shared" ref="J32:J33" si="3">$L$15</f>
        <v>3815000</v>
      </c>
      <c r="K32" s="454"/>
      <c r="L32" s="454"/>
      <c r="M32" s="454"/>
      <c r="N32" s="454"/>
      <c r="O32" s="454">
        <f>$L$20</f>
        <v>28550000</v>
      </c>
      <c r="P32" s="454"/>
      <c r="Q32" s="454"/>
      <c r="R32" s="454"/>
      <c r="S32" s="454"/>
      <c r="T32" s="452">
        <f t="shared" si="2"/>
        <v>32365000</v>
      </c>
      <c r="U32" s="452"/>
      <c r="V32" s="452"/>
      <c r="W32" s="452"/>
      <c r="X32" s="453"/>
      <c r="Y32" s="357"/>
      <c r="Z32" s="338"/>
      <c r="AA32" s="338"/>
      <c r="AB32" s="338"/>
      <c r="AC32" s="338"/>
      <c r="AD32" s="338"/>
      <c r="AE32" s="337"/>
      <c r="AF32" s="333"/>
    </row>
    <row r="33" spans="1:32" ht="18.75" customHeight="1" x14ac:dyDescent="0.25">
      <c r="A33" s="333"/>
      <c r="B33" s="339"/>
      <c r="C33" s="338"/>
      <c r="D33" s="468">
        <f t="shared" si="0"/>
        <v>2024</v>
      </c>
      <c r="E33" s="466"/>
      <c r="F33" s="466"/>
      <c r="G33" s="466">
        <f t="shared" si="1"/>
        <v>4</v>
      </c>
      <c r="H33" s="466"/>
      <c r="I33" s="466"/>
      <c r="J33" s="454">
        <f t="shared" si="3"/>
        <v>3815000</v>
      </c>
      <c r="K33" s="454"/>
      <c r="L33" s="454"/>
      <c r="M33" s="454"/>
      <c r="N33" s="454"/>
      <c r="O33" s="454">
        <f t="shared" ref="O33:O35" si="4">$L$20</f>
        <v>28550000</v>
      </c>
      <c r="P33" s="454"/>
      <c r="Q33" s="454"/>
      <c r="R33" s="454"/>
      <c r="S33" s="454"/>
      <c r="T33" s="452">
        <f t="shared" si="2"/>
        <v>32365000</v>
      </c>
      <c r="U33" s="452"/>
      <c r="V33" s="452"/>
      <c r="W33" s="452"/>
      <c r="X33" s="453"/>
      <c r="Y33" s="357"/>
      <c r="Z33" s="338"/>
      <c r="AA33" s="338"/>
      <c r="AB33" s="338"/>
      <c r="AC33" s="338"/>
      <c r="AD33" s="338"/>
      <c r="AE33" s="337"/>
      <c r="AF33" s="333"/>
    </row>
    <row r="34" spans="1:32" ht="18.75" customHeight="1" x14ac:dyDescent="0.25">
      <c r="A34" s="333"/>
      <c r="B34" s="339"/>
      <c r="C34" s="341"/>
      <c r="D34" s="468">
        <f t="shared" si="0"/>
        <v>2025</v>
      </c>
      <c r="E34" s="466"/>
      <c r="F34" s="466"/>
      <c r="G34" s="466">
        <f t="shared" si="1"/>
        <v>5</v>
      </c>
      <c r="H34" s="466"/>
      <c r="I34" s="466"/>
      <c r="J34" s="454"/>
      <c r="K34" s="454"/>
      <c r="L34" s="454"/>
      <c r="M34" s="454"/>
      <c r="N34" s="454"/>
      <c r="O34" s="454">
        <f t="shared" si="4"/>
        <v>28550000</v>
      </c>
      <c r="P34" s="454"/>
      <c r="Q34" s="454"/>
      <c r="R34" s="454"/>
      <c r="S34" s="454"/>
      <c r="T34" s="452">
        <f t="shared" si="2"/>
        <v>28550000</v>
      </c>
      <c r="U34" s="452"/>
      <c r="V34" s="452"/>
      <c r="W34" s="452"/>
      <c r="X34" s="453"/>
      <c r="Y34" s="357"/>
      <c r="Z34" s="338"/>
      <c r="AA34" s="338"/>
      <c r="AB34" s="338"/>
      <c r="AC34" s="338"/>
      <c r="AD34" s="338"/>
      <c r="AE34" s="337"/>
      <c r="AF34" s="333"/>
    </row>
    <row r="35" spans="1:32" ht="18.75" customHeight="1" x14ac:dyDescent="0.25">
      <c r="A35" s="333"/>
      <c r="B35" s="339"/>
      <c r="C35" s="338"/>
      <c r="D35" s="468">
        <f t="shared" si="0"/>
        <v>2026</v>
      </c>
      <c r="E35" s="466"/>
      <c r="F35" s="466"/>
      <c r="G35" s="466">
        <f t="shared" si="1"/>
        <v>6</v>
      </c>
      <c r="H35" s="466"/>
      <c r="I35" s="466"/>
      <c r="J35" s="454"/>
      <c r="K35" s="454"/>
      <c r="L35" s="454"/>
      <c r="M35" s="454"/>
      <c r="N35" s="454"/>
      <c r="O35" s="454">
        <f t="shared" si="4"/>
        <v>28550000</v>
      </c>
      <c r="P35" s="454"/>
      <c r="Q35" s="454"/>
      <c r="R35" s="454"/>
      <c r="S35" s="454"/>
      <c r="T35" s="452">
        <f t="shared" si="2"/>
        <v>28550000</v>
      </c>
      <c r="U35" s="452"/>
      <c r="V35" s="452"/>
      <c r="W35" s="452"/>
      <c r="X35" s="453"/>
      <c r="Y35" s="357"/>
      <c r="Z35" s="338"/>
      <c r="AA35" s="338"/>
      <c r="AB35" s="338"/>
      <c r="AC35" s="338"/>
      <c r="AD35" s="338"/>
      <c r="AE35" s="337"/>
      <c r="AF35" s="333"/>
    </row>
    <row r="36" spans="1:32" ht="18.75" customHeight="1" x14ac:dyDescent="0.25">
      <c r="A36" s="333"/>
      <c r="B36" s="339"/>
      <c r="C36" s="338"/>
      <c r="D36" s="468">
        <f t="shared" si="0"/>
        <v>2027</v>
      </c>
      <c r="E36" s="466"/>
      <c r="F36" s="466"/>
      <c r="G36" s="466">
        <f t="shared" si="1"/>
        <v>7</v>
      </c>
      <c r="H36" s="466"/>
      <c r="I36" s="466"/>
      <c r="J36" s="454"/>
      <c r="K36" s="454"/>
      <c r="L36" s="454"/>
      <c r="M36" s="454"/>
      <c r="N36" s="454"/>
      <c r="O36" s="454"/>
      <c r="P36" s="454"/>
      <c r="Q36" s="454"/>
      <c r="R36" s="454"/>
      <c r="S36" s="454"/>
      <c r="T36" s="452">
        <f t="shared" si="2"/>
        <v>0</v>
      </c>
      <c r="U36" s="452"/>
      <c r="V36" s="452"/>
      <c r="W36" s="452"/>
      <c r="X36" s="453"/>
      <c r="Y36" s="357"/>
      <c r="Z36" s="338"/>
      <c r="AA36" s="338"/>
      <c r="AB36" s="338"/>
      <c r="AC36" s="338"/>
      <c r="AD36" s="338"/>
      <c r="AE36" s="337"/>
      <c r="AF36" s="333"/>
    </row>
    <row r="37" spans="1:32" ht="18.75" customHeight="1" x14ac:dyDescent="0.25">
      <c r="A37" s="333"/>
      <c r="B37" s="339"/>
      <c r="C37" s="338"/>
      <c r="D37" s="468">
        <f t="shared" si="0"/>
        <v>2028</v>
      </c>
      <c r="E37" s="466"/>
      <c r="F37" s="466"/>
      <c r="G37" s="466">
        <f t="shared" si="1"/>
        <v>8</v>
      </c>
      <c r="H37" s="466"/>
      <c r="I37" s="466"/>
      <c r="J37" s="454"/>
      <c r="K37" s="454"/>
      <c r="L37" s="454"/>
      <c r="M37" s="454"/>
      <c r="N37" s="454"/>
      <c r="O37" s="454"/>
      <c r="P37" s="454"/>
      <c r="Q37" s="454"/>
      <c r="R37" s="454"/>
      <c r="S37" s="454"/>
      <c r="T37" s="452">
        <f t="shared" si="2"/>
        <v>0</v>
      </c>
      <c r="U37" s="452"/>
      <c r="V37" s="452"/>
      <c r="W37" s="452"/>
      <c r="X37" s="453"/>
      <c r="Y37" s="357"/>
      <c r="Z37" s="338"/>
      <c r="AA37" s="338"/>
      <c r="AB37" s="338"/>
      <c r="AC37" s="338"/>
      <c r="AD37" s="338"/>
      <c r="AE37" s="337"/>
      <c r="AF37" s="333"/>
    </row>
    <row r="38" spans="1:32" ht="18.75" customHeight="1" x14ac:dyDescent="0.25">
      <c r="A38" s="333"/>
      <c r="B38" s="339"/>
      <c r="C38" s="338"/>
      <c r="D38" s="468">
        <f t="shared" si="0"/>
        <v>2029</v>
      </c>
      <c r="E38" s="466"/>
      <c r="F38" s="466"/>
      <c r="G38" s="466">
        <f t="shared" si="1"/>
        <v>9</v>
      </c>
      <c r="H38" s="466"/>
      <c r="I38" s="466"/>
      <c r="J38" s="454"/>
      <c r="K38" s="454"/>
      <c r="L38" s="454"/>
      <c r="M38" s="454"/>
      <c r="N38" s="454"/>
      <c r="O38" s="454"/>
      <c r="P38" s="454"/>
      <c r="Q38" s="454"/>
      <c r="R38" s="454"/>
      <c r="S38" s="454"/>
      <c r="T38" s="452">
        <f t="shared" si="2"/>
        <v>0</v>
      </c>
      <c r="U38" s="452"/>
      <c r="V38" s="452"/>
      <c r="W38" s="452"/>
      <c r="X38" s="453"/>
      <c r="Y38" s="357"/>
      <c r="Z38" s="338"/>
      <c r="AA38" s="338"/>
      <c r="AB38" s="338"/>
      <c r="AC38" s="338"/>
      <c r="AD38" s="338"/>
      <c r="AE38" s="337"/>
      <c r="AF38" s="333"/>
    </row>
    <row r="39" spans="1:32" ht="18.75" customHeight="1" x14ac:dyDescent="0.25">
      <c r="A39" s="333"/>
      <c r="B39" s="339"/>
      <c r="C39" s="338"/>
      <c r="D39" s="468">
        <f t="shared" si="0"/>
        <v>2030</v>
      </c>
      <c r="E39" s="466"/>
      <c r="F39" s="466"/>
      <c r="G39" s="466">
        <f t="shared" si="1"/>
        <v>10</v>
      </c>
      <c r="H39" s="466"/>
      <c r="I39" s="466"/>
      <c r="J39" s="454"/>
      <c r="K39" s="454"/>
      <c r="L39" s="454"/>
      <c r="M39" s="454"/>
      <c r="N39" s="454"/>
      <c r="O39" s="454"/>
      <c r="P39" s="454"/>
      <c r="Q39" s="454"/>
      <c r="R39" s="454"/>
      <c r="S39" s="454"/>
      <c r="T39" s="452">
        <f t="shared" si="2"/>
        <v>0</v>
      </c>
      <c r="U39" s="452"/>
      <c r="V39" s="452"/>
      <c r="W39" s="452"/>
      <c r="X39" s="453"/>
      <c r="Y39" s="357"/>
      <c r="Z39" s="338"/>
      <c r="AA39" s="338"/>
      <c r="AB39" s="338"/>
      <c r="AC39" s="338"/>
      <c r="AD39" s="338"/>
      <c r="AE39" s="337"/>
      <c r="AF39" s="333"/>
    </row>
    <row r="40" spans="1:32" ht="18.75" customHeight="1" x14ac:dyDescent="0.25">
      <c r="A40" s="333"/>
      <c r="B40" s="339"/>
      <c r="C40" s="338"/>
      <c r="D40" s="468">
        <f t="shared" si="0"/>
        <v>2031</v>
      </c>
      <c r="E40" s="466"/>
      <c r="F40" s="466"/>
      <c r="G40" s="466">
        <f t="shared" si="1"/>
        <v>11</v>
      </c>
      <c r="H40" s="466"/>
      <c r="I40" s="466"/>
      <c r="J40" s="454"/>
      <c r="K40" s="454"/>
      <c r="L40" s="454"/>
      <c r="M40" s="454"/>
      <c r="N40" s="454"/>
      <c r="O40" s="454"/>
      <c r="P40" s="454"/>
      <c r="Q40" s="454"/>
      <c r="R40" s="454"/>
      <c r="S40" s="454"/>
      <c r="T40" s="452">
        <f t="shared" si="2"/>
        <v>0</v>
      </c>
      <c r="U40" s="452"/>
      <c r="V40" s="452"/>
      <c r="W40" s="452"/>
      <c r="X40" s="453"/>
      <c r="Y40" s="357"/>
      <c r="Z40" s="338"/>
      <c r="AA40" s="338"/>
      <c r="AB40" s="338"/>
      <c r="AC40" s="338"/>
      <c r="AD40" s="338"/>
      <c r="AE40" s="337"/>
      <c r="AF40" s="333"/>
    </row>
    <row r="41" spans="1:32" ht="18.75" customHeight="1" x14ac:dyDescent="0.25">
      <c r="A41" s="333"/>
      <c r="B41" s="339"/>
      <c r="C41" s="338"/>
      <c r="D41" s="468">
        <f t="shared" si="0"/>
        <v>2032</v>
      </c>
      <c r="E41" s="466"/>
      <c r="F41" s="466"/>
      <c r="G41" s="466">
        <f t="shared" si="1"/>
        <v>12</v>
      </c>
      <c r="H41" s="466"/>
      <c r="I41" s="466"/>
      <c r="J41" s="454"/>
      <c r="K41" s="454"/>
      <c r="L41" s="454"/>
      <c r="M41" s="454"/>
      <c r="N41" s="454"/>
      <c r="O41" s="454"/>
      <c r="P41" s="454"/>
      <c r="Q41" s="454"/>
      <c r="R41" s="454"/>
      <c r="S41" s="454"/>
      <c r="T41" s="452">
        <f t="shared" si="2"/>
        <v>0</v>
      </c>
      <c r="U41" s="452"/>
      <c r="V41" s="452"/>
      <c r="W41" s="452"/>
      <c r="X41" s="453"/>
      <c r="Y41" s="357"/>
      <c r="Z41" s="338"/>
      <c r="AA41" s="338"/>
      <c r="AB41" s="338"/>
      <c r="AC41" s="338"/>
      <c r="AD41" s="338"/>
      <c r="AE41" s="337"/>
      <c r="AF41" s="333"/>
    </row>
    <row r="42" spans="1:32" ht="18.75" customHeight="1" x14ac:dyDescent="0.25">
      <c r="A42" s="333"/>
      <c r="B42" s="339"/>
      <c r="C42" s="338"/>
      <c r="D42" s="468">
        <f t="shared" si="0"/>
        <v>2033</v>
      </c>
      <c r="E42" s="466"/>
      <c r="F42" s="466"/>
      <c r="G42" s="466">
        <f t="shared" si="1"/>
        <v>13</v>
      </c>
      <c r="H42" s="466"/>
      <c r="I42" s="466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2">
        <f t="shared" si="2"/>
        <v>0</v>
      </c>
      <c r="U42" s="452"/>
      <c r="V42" s="452"/>
      <c r="W42" s="452"/>
      <c r="X42" s="453"/>
      <c r="Y42" s="357"/>
      <c r="Z42" s="338"/>
      <c r="AA42" s="338"/>
      <c r="AB42" s="338"/>
      <c r="AC42" s="338"/>
      <c r="AD42" s="338"/>
      <c r="AE42" s="337"/>
      <c r="AF42" s="333"/>
    </row>
    <row r="43" spans="1:32" ht="18.75" customHeight="1" thickBot="1" x14ac:dyDescent="0.3">
      <c r="A43" s="333"/>
      <c r="B43" s="339"/>
      <c r="C43" s="338"/>
      <c r="D43" s="467">
        <f t="shared" si="0"/>
        <v>2034</v>
      </c>
      <c r="E43" s="465"/>
      <c r="F43" s="465"/>
      <c r="G43" s="465">
        <f t="shared" si="1"/>
        <v>14</v>
      </c>
      <c r="H43" s="465"/>
      <c r="I43" s="46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6">
        <f t="shared" si="2"/>
        <v>0</v>
      </c>
      <c r="U43" s="456"/>
      <c r="V43" s="456"/>
      <c r="W43" s="456"/>
      <c r="X43" s="457"/>
      <c r="Y43" s="357"/>
      <c r="Z43" s="338"/>
      <c r="AA43" s="338"/>
      <c r="AB43" s="338"/>
      <c r="AC43" s="338"/>
      <c r="AD43" s="338"/>
      <c r="AE43" s="337"/>
      <c r="AF43" s="333"/>
    </row>
    <row r="44" spans="1:32" ht="18.75" customHeight="1" thickBot="1" x14ac:dyDescent="0.25">
      <c r="A44" s="333"/>
      <c r="B44" s="336"/>
      <c r="C44" s="335"/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359"/>
      <c r="R44" s="359"/>
      <c r="S44" s="359"/>
      <c r="T44" s="359"/>
      <c r="U44" s="359"/>
      <c r="V44" s="359"/>
      <c r="W44" s="359"/>
      <c r="X44" s="359"/>
      <c r="Y44" s="335"/>
      <c r="Z44" s="335"/>
      <c r="AA44" s="335"/>
      <c r="AB44" s="335"/>
      <c r="AC44" s="335"/>
      <c r="AD44" s="335"/>
      <c r="AE44" s="334"/>
      <c r="AF44" s="333"/>
    </row>
    <row r="45" spans="1:32" ht="5.25" customHeight="1" x14ac:dyDescent="0.2">
      <c r="A45" s="333"/>
      <c r="B45" s="333"/>
      <c r="C45" s="333"/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333"/>
      <c r="X45" s="333"/>
      <c r="Y45" s="333"/>
      <c r="Z45" s="333"/>
      <c r="AA45" s="333"/>
      <c r="AB45" s="333"/>
      <c r="AC45" s="333"/>
      <c r="AD45" s="333"/>
      <c r="AE45" s="333"/>
    </row>
  </sheetData>
  <mergeCells count="104">
    <mergeCell ref="A3:O3"/>
    <mergeCell ref="A4:O4"/>
    <mergeCell ref="A2:O2"/>
    <mergeCell ref="V6:Y6"/>
    <mergeCell ref="AB6:AE6"/>
    <mergeCell ref="AB5:AE5"/>
    <mergeCell ref="AB4:AE4"/>
    <mergeCell ref="T2:AE2"/>
    <mergeCell ref="Z3:AA3"/>
    <mergeCell ref="AB3:AE3"/>
    <mergeCell ref="V3:Y3"/>
    <mergeCell ref="V4:Y4"/>
    <mergeCell ref="V5:Y5"/>
    <mergeCell ref="L19:P19"/>
    <mergeCell ref="L20:P20"/>
    <mergeCell ref="L17:P17"/>
    <mergeCell ref="L18:P18"/>
    <mergeCell ref="L22:P22"/>
    <mergeCell ref="D9:AC10"/>
    <mergeCell ref="L14:P14"/>
    <mergeCell ref="L13:P13"/>
    <mergeCell ref="L12:P12"/>
    <mergeCell ref="L15:P15"/>
    <mergeCell ref="Z12:AD12"/>
    <mergeCell ref="Z13:AD13"/>
    <mergeCell ref="Z14:AD14"/>
    <mergeCell ref="Z15:AD15"/>
    <mergeCell ref="L24:P24"/>
    <mergeCell ref="L26:P26"/>
    <mergeCell ref="D28:F29"/>
    <mergeCell ref="D30:F30"/>
    <mergeCell ref="D31:F31"/>
    <mergeCell ref="G28:I29"/>
    <mergeCell ref="G30:I30"/>
    <mergeCell ref="G31:I31"/>
    <mergeCell ref="J28:N29"/>
    <mergeCell ref="O28:S29"/>
    <mergeCell ref="D43:F43"/>
    <mergeCell ref="D32:F32"/>
    <mergeCell ref="D33:F33"/>
    <mergeCell ref="D34:F34"/>
    <mergeCell ref="D35:F35"/>
    <mergeCell ref="D36:F36"/>
    <mergeCell ref="D37:F37"/>
    <mergeCell ref="D38:F38"/>
    <mergeCell ref="D39:F39"/>
    <mergeCell ref="D40:F40"/>
    <mergeCell ref="D41:F41"/>
    <mergeCell ref="D42:F42"/>
    <mergeCell ref="G43:I43"/>
    <mergeCell ref="G32:I32"/>
    <mergeCell ref="G33:I33"/>
    <mergeCell ref="G34:I34"/>
    <mergeCell ref="G35:I35"/>
    <mergeCell ref="G36:I36"/>
    <mergeCell ref="G37:I37"/>
    <mergeCell ref="G38:I38"/>
    <mergeCell ref="G39:I39"/>
    <mergeCell ref="G40:I40"/>
    <mergeCell ref="G41:I41"/>
    <mergeCell ref="G42:I42"/>
    <mergeCell ref="T28:X29"/>
    <mergeCell ref="J30:N30"/>
    <mergeCell ref="J31:N31"/>
    <mergeCell ref="J32:N32"/>
    <mergeCell ref="O30:S30"/>
    <mergeCell ref="O31:S31"/>
    <mergeCell ref="O32:S32"/>
    <mergeCell ref="T30:X30"/>
    <mergeCell ref="T31:X31"/>
    <mergeCell ref="T32:X32"/>
    <mergeCell ref="J42:N42"/>
    <mergeCell ref="J43:N43"/>
    <mergeCell ref="T43:X43"/>
    <mergeCell ref="O42:S42"/>
    <mergeCell ref="O43:S43"/>
    <mergeCell ref="O33:S33"/>
    <mergeCell ref="O34:S34"/>
    <mergeCell ref="O41:S41"/>
    <mergeCell ref="J40:N40"/>
    <mergeCell ref="J41:N41"/>
    <mergeCell ref="O38:S38"/>
    <mergeCell ref="O39:S39"/>
    <mergeCell ref="O40:S40"/>
    <mergeCell ref="J38:N38"/>
    <mergeCell ref="J39:N39"/>
    <mergeCell ref="J33:N33"/>
    <mergeCell ref="O35:S35"/>
    <mergeCell ref="J34:N34"/>
    <mergeCell ref="J35:N35"/>
    <mergeCell ref="J36:N36"/>
    <mergeCell ref="J37:N37"/>
    <mergeCell ref="T41:X41"/>
    <mergeCell ref="T42:X42"/>
    <mergeCell ref="O36:S36"/>
    <mergeCell ref="O37:S37"/>
    <mergeCell ref="T38:X38"/>
    <mergeCell ref="T39:X39"/>
    <mergeCell ref="T40:X40"/>
    <mergeCell ref="T33:X33"/>
    <mergeCell ref="T34:X34"/>
    <mergeCell ref="T35:X35"/>
    <mergeCell ref="T36:X36"/>
    <mergeCell ref="T37:X37"/>
  </mergeCells>
  <hyperlinks>
    <hyperlink ref="A4" r:id="rId1" xr:uid="{1E5515CA-C4C9-416F-8ECA-08C41A298BF8}"/>
  </hyperlinks>
  <pageMargins left="0.25" right="0.2" top="0.25" bottom="0.25" header="0" footer="0"/>
  <pageSetup scale="98" orientation="portrait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FE130-A4AA-4EF0-9442-045865354C2A}">
  <sheetPr>
    <pageSetUpPr fitToPage="1"/>
  </sheetPr>
  <dimension ref="A1:G95"/>
  <sheetViews>
    <sheetView view="pageBreakPreview" zoomScale="80" zoomScaleNormal="100" zoomScaleSheetLayoutView="80" workbookViewId="0">
      <selection activeCell="B87" sqref="B87:G91"/>
    </sheetView>
  </sheetViews>
  <sheetFormatPr defaultRowHeight="15" x14ac:dyDescent="0.25"/>
  <cols>
    <col min="2" max="2" width="60.7109375" customWidth="1"/>
    <col min="3" max="7" width="10.7109375" customWidth="1"/>
    <col min="10" max="12" width="65.7109375" customWidth="1"/>
    <col min="15" max="15" width="10.7109375" customWidth="1"/>
  </cols>
  <sheetData>
    <row r="1" spans="1:7" x14ac:dyDescent="0.25">
      <c r="A1" t="s">
        <v>73</v>
      </c>
    </row>
    <row r="3" spans="1:7" ht="15.75" thickBot="1" x14ac:dyDescent="0.3"/>
    <row r="4" spans="1:7" ht="15.75" thickBot="1" x14ac:dyDescent="0.3">
      <c r="A4" s="129"/>
      <c r="B4" s="81"/>
      <c r="C4" s="594" t="s">
        <v>59</v>
      </c>
      <c r="D4" s="445"/>
      <c r="E4" s="594" t="s">
        <v>32</v>
      </c>
      <c r="F4" s="444"/>
      <c r="G4" s="445"/>
    </row>
    <row r="5" spans="1:7" ht="45" customHeight="1" thickBot="1" x14ac:dyDescent="0.3">
      <c r="A5" s="130"/>
      <c r="B5" s="131" t="s">
        <v>39</v>
      </c>
      <c r="C5" s="132" t="s">
        <v>58</v>
      </c>
      <c r="D5" s="133" t="s">
        <v>40</v>
      </c>
      <c r="E5" s="134" t="s">
        <v>58</v>
      </c>
      <c r="F5" s="135" t="s">
        <v>40</v>
      </c>
      <c r="G5" s="136" t="s">
        <v>66</v>
      </c>
    </row>
    <row r="6" spans="1:7" ht="15" customHeight="1" x14ac:dyDescent="0.25">
      <c r="A6" s="591" t="s">
        <v>57</v>
      </c>
      <c r="B6" s="146"/>
      <c r="C6" s="137"/>
      <c r="D6" s="138"/>
      <c r="E6" s="137"/>
      <c r="F6" s="139"/>
      <c r="G6" s="138"/>
    </row>
    <row r="7" spans="1:7" x14ac:dyDescent="0.25">
      <c r="A7" s="592"/>
      <c r="B7" s="147"/>
      <c r="C7" s="140"/>
      <c r="D7" s="141"/>
      <c r="E7" s="140"/>
      <c r="F7" s="142"/>
      <c r="G7" s="141"/>
    </row>
    <row r="8" spans="1:7" x14ac:dyDescent="0.25">
      <c r="A8" s="592"/>
      <c r="B8" s="147"/>
      <c r="C8" s="140"/>
      <c r="D8" s="141"/>
      <c r="E8" s="140"/>
      <c r="F8" s="142"/>
      <c r="G8" s="141"/>
    </row>
    <row r="9" spans="1:7" x14ac:dyDescent="0.25">
      <c r="A9" s="592"/>
      <c r="B9" s="147"/>
      <c r="C9" s="140"/>
      <c r="D9" s="141"/>
      <c r="E9" s="140"/>
      <c r="F9" s="142"/>
      <c r="G9" s="141"/>
    </row>
    <row r="10" spans="1:7" x14ac:dyDescent="0.25">
      <c r="A10" s="592"/>
      <c r="B10" s="147"/>
      <c r="C10" s="140"/>
      <c r="D10" s="141"/>
      <c r="E10" s="140"/>
      <c r="F10" s="142"/>
      <c r="G10" s="141"/>
    </row>
    <row r="11" spans="1:7" x14ac:dyDescent="0.25">
      <c r="A11" s="592"/>
      <c r="B11" s="147"/>
      <c r="C11" s="140"/>
      <c r="D11" s="141"/>
      <c r="E11" s="140"/>
      <c r="F11" s="142"/>
      <c r="G11" s="141"/>
    </row>
    <row r="12" spans="1:7" x14ac:dyDescent="0.25">
      <c r="A12" s="592"/>
      <c r="B12" s="148"/>
      <c r="C12" s="140"/>
      <c r="D12" s="141"/>
      <c r="E12" s="140"/>
      <c r="F12" s="142"/>
      <c r="G12" s="141"/>
    </row>
    <row r="13" spans="1:7" x14ac:dyDescent="0.25">
      <c r="A13" s="592"/>
      <c r="B13" s="147"/>
      <c r="C13" s="140"/>
      <c r="D13" s="141"/>
      <c r="E13" s="140"/>
      <c r="F13" s="142"/>
      <c r="G13" s="141"/>
    </row>
    <row r="14" spans="1:7" x14ac:dyDescent="0.25">
      <c r="A14" s="592"/>
      <c r="B14" s="147"/>
      <c r="C14" s="140"/>
      <c r="D14" s="141"/>
      <c r="E14" s="140"/>
      <c r="F14" s="142"/>
      <c r="G14" s="141"/>
    </row>
    <row r="15" spans="1:7" x14ac:dyDescent="0.25">
      <c r="A15" s="592"/>
      <c r="B15" s="147"/>
      <c r="C15" s="140"/>
      <c r="D15" s="141"/>
      <c r="E15" s="140"/>
      <c r="F15" s="142"/>
      <c r="G15" s="141"/>
    </row>
    <row r="16" spans="1:7" x14ac:dyDescent="0.25">
      <c r="A16" s="592"/>
      <c r="B16" s="147" t="s">
        <v>41</v>
      </c>
      <c r="C16" s="140">
        <v>3664</v>
      </c>
      <c r="D16" s="141">
        <v>0.10935461767679153</v>
      </c>
      <c r="E16" s="140">
        <v>4027</v>
      </c>
      <c r="F16" s="142">
        <v>0.13385114186085764</v>
      </c>
      <c r="G16" s="141">
        <f t="shared" ref="G16:G44" si="0">E16*(F16/60)</f>
        <v>8.9836424712278955</v>
      </c>
    </row>
    <row r="17" spans="1:7" x14ac:dyDescent="0.25">
      <c r="A17" s="592"/>
      <c r="B17" s="147" t="s">
        <v>42</v>
      </c>
      <c r="C17" s="140">
        <v>3664</v>
      </c>
      <c r="D17" s="141">
        <v>0.51754954767226402</v>
      </c>
      <c r="E17" s="140">
        <v>4027</v>
      </c>
      <c r="F17" s="142">
        <v>0.55868982962977609</v>
      </c>
      <c r="G17" s="141">
        <f t="shared" si="0"/>
        <v>37.497399065318469</v>
      </c>
    </row>
    <row r="18" spans="1:7" x14ac:dyDescent="0.25">
      <c r="A18" s="592"/>
      <c r="B18" s="147" t="s">
        <v>43</v>
      </c>
      <c r="C18" s="140">
        <v>3483</v>
      </c>
      <c r="D18" s="141">
        <v>0.17017234411567703</v>
      </c>
      <c r="E18" s="140">
        <v>3840</v>
      </c>
      <c r="F18" s="142">
        <v>0.17447147004040703</v>
      </c>
      <c r="G18" s="141">
        <f t="shared" si="0"/>
        <v>11.16617408258605</v>
      </c>
    </row>
    <row r="19" spans="1:7" x14ac:dyDescent="0.25">
      <c r="A19" s="592"/>
      <c r="B19" s="147" t="s">
        <v>44</v>
      </c>
      <c r="C19" s="140">
        <v>3180</v>
      </c>
      <c r="D19" s="141">
        <v>0.29109236173218783</v>
      </c>
      <c r="E19" s="140">
        <v>3522</v>
      </c>
      <c r="F19" s="142">
        <v>0.29449794350383762</v>
      </c>
      <c r="G19" s="141">
        <f t="shared" si="0"/>
        <v>17.287029283675267</v>
      </c>
    </row>
    <row r="20" spans="1:7" x14ac:dyDescent="0.25">
      <c r="A20" s="592"/>
      <c r="B20" s="147" t="s">
        <v>45</v>
      </c>
      <c r="C20" s="140">
        <v>3637</v>
      </c>
      <c r="D20" s="141">
        <v>0.25367222201755019</v>
      </c>
      <c r="E20" s="140">
        <v>4014</v>
      </c>
      <c r="F20" s="142">
        <v>0.25626399794666099</v>
      </c>
      <c r="G20" s="141">
        <f t="shared" si="0"/>
        <v>17.144061462631619</v>
      </c>
    </row>
    <row r="21" spans="1:7" x14ac:dyDescent="0.25">
      <c r="A21" s="592"/>
      <c r="B21" s="147" t="s">
        <v>46</v>
      </c>
      <c r="C21" s="140">
        <v>2362</v>
      </c>
      <c r="D21" s="141">
        <v>0.33561067798930311</v>
      </c>
      <c r="E21" s="140">
        <v>2612</v>
      </c>
      <c r="F21" s="142">
        <v>0.33657961365201994</v>
      </c>
      <c r="G21" s="141">
        <f t="shared" si="0"/>
        <v>14.652432514317933</v>
      </c>
    </row>
    <row r="22" spans="1:7" x14ac:dyDescent="0.25">
      <c r="A22" s="592"/>
      <c r="B22" s="147" t="s">
        <v>46</v>
      </c>
      <c r="C22" s="140">
        <v>2362</v>
      </c>
      <c r="D22" s="141">
        <v>0.41960530218890579</v>
      </c>
      <c r="E22" s="140">
        <v>2612</v>
      </c>
      <c r="F22" s="142">
        <v>0.4212580603892464</v>
      </c>
      <c r="G22" s="141">
        <f t="shared" si="0"/>
        <v>18.338767562278527</v>
      </c>
    </row>
    <row r="23" spans="1:7" ht="15" customHeight="1" x14ac:dyDescent="0.25">
      <c r="A23" s="592"/>
      <c r="B23" s="147" t="s">
        <v>47</v>
      </c>
      <c r="C23" s="140">
        <v>3379</v>
      </c>
      <c r="D23" s="141">
        <v>0.86218338892932711</v>
      </c>
      <c r="E23" s="140">
        <v>3770</v>
      </c>
      <c r="F23" s="142">
        <v>0.86824495621301145</v>
      </c>
      <c r="G23" s="141">
        <f t="shared" si="0"/>
        <v>54.554724748717554</v>
      </c>
    </row>
    <row r="24" spans="1:7" ht="15.75" thickBot="1" x14ac:dyDescent="0.3">
      <c r="A24" s="592"/>
      <c r="B24" s="147" t="s">
        <v>48</v>
      </c>
      <c r="C24" s="143">
        <v>3379</v>
      </c>
      <c r="D24" s="144">
        <v>3.1486442872040792</v>
      </c>
      <c r="E24" s="143">
        <v>3770</v>
      </c>
      <c r="F24" s="145">
        <v>3.1762455885384164</v>
      </c>
      <c r="G24" s="144">
        <f t="shared" si="0"/>
        <v>199.57409781316383</v>
      </c>
    </row>
    <row r="25" spans="1:7" ht="15" customHeight="1" x14ac:dyDescent="0.25">
      <c r="A25" s="591" t="s">
        <v>56</v>
      </c>
      <c r="B25" s="146"/>
      <c r="C25" s="137"/>
      <c r="D25" s="138"/>
      <c r="E25" s="137"/>
      <c r="F25" s="139"/>
      <c r="G25" s="138"/>
    </row>
    <row r="26" spans="1:7" x14ac:dyDescent="0.25">
      <c r="A26" s="592"/>
      <c r="B26" s="147"/>
      <c r="C26" s="140"/>
      <c r="D26" s="141"/>
      <c r="E26" s="140"/>
      <c r="F26" s="142"/>
      <c r="G26" s="141"/>
    </row>
    <row r="27" spans="1:7" x14ac:dyDescent="0.25">
      <c r="A27" s="592"/>
      <c r="B27" s="147"/>
      <c r="C27" s="140"/>
      <c r="D27" s="141"/>
      <c r="E27" s="140"/>
      <c r="F27" s="142"/>
      <c r="G27" s="141"/>
    </row>
    <row r="28" spans="1:7" x14ac:dyDescent="0.25">
      <c r="A28" s="592"/>
      <c r="B28" s="147"/>
      <c r="C28" s="140"/>
      <c r="D28" s="141"/>
      <c r="E28" s="140"/>
      <c r="F28" s="142"/>
      <c r="G28" s="141"/>
    </row>
    <row r="29" spans="1:7" x14ac:dyDescent="0.25">
      <c r="A29" s="592"/>
      <c r="B29" s="147"/>
      <c r="C29" s="140"/>
      <c r="D29" s="141"/>
      <c r="E29" s="140"/>
      <c r="F29" s="142"/>
      <c r="G29" s="141"/>
    </row>
    <row r="30" spans="1:7" x14ac:dyDescent="0.25">
      <c r="A30" s="592"/>
      <c r="B30" s="150"/>
      <c r="C30" s="140"/>
      <c r="D30" s="141"/>
      <c r="E30" s="140"/>
      <c r="F30" s="142"/>
      <c r="G30" s="141"/>
    </row>
    <row r="31" spans="1:7" x14ac:dyDescent="0.25">
      <c r="A31" s="592"/>
      <c r="B31" s="147"/>
      <c r="C31" s="140"/>
      <c r="D31" s="141"/>
      <c r="E31" s="140"/>
      <c r="F31" s="142"/>
      <c r="G31" s="141"/>
    </row>
    <row r="32" spans="1:7" x14ac:dyDescent="0.25">
      <c r="A32" s="592"/>
      <c r="B32" s="147"/>
      <c r="C32" s="140"/>
      <c r="D32" s="141"/>
      <c r="E32" s="140"/>
      <c r="F32" s="142"/>
      <c r="G32" s="141"/>
    </row>
    <row r="33" spans="1:7" x14ac:dyDescent="0.25">
      <c r="A33" s="592"/>
      <c r="B33" s="147"/>
      <c r="C33" s="140"/>
      <c r="D33" s="141"/>
      <c r="E33" s="140"/>
      <c r="F33" s="142"/>
      <c r="G33" s="141"/>
    </row>
    <row r="34" spans="1:7" x14ac:dyDescent="0.25">
      <c r="A34" s="592"/>
      <c r="B34" s="147"/>
      <c r="C34" s="140"/>
      <c r="D34" s="141"/>
      <c r="E34" s="140"/>
      <c r="F34" s="142"/>
      <c r="G34" s="141"/>
    </row>
    <row r="35" spans="1:7" x14ac:dyDescent="0.25">
      <c r="A35" s="592"/>
      <c r="B35" s="147" t="s">
        <v>49</v>
      </c>
      <c r="C35" s="140">
        <v>3891</v>
      </c>
      <c r="D35" s="141">
        <v>0.49810336188240928</v>
      </c>
      <c r="E35" s="140">
        <v>4380</v>
      </c>
      <c r="F35" s="142">
        <v>0.68076253161051425</v>
      </c>
      <c r="G35" s="141">
        <f t="shared" si="0"/>
        <v>49.695664807567539</v>
      </c>
    </row>
    <row r="36" spans="1:7" x14ac:dyDescent="0.25">
      <c r="A36" s="592"/>
      <c r="B36" s="147" t="s">
        <v>50</v>
      </c>
      <c r="C36" s="140">
        <v>3891</v>
      </c>
      <c r="D36" s="141">
        <v>8.6508263586113993E-2</v>
      </c>
      <c r="E36" s="140">
        <v>4380</v>
      </c>
      <c r="F36" s="142">
        <v>0.1745036436981568</v>
      </c>
      <c r="G36" s="141">
        <f t="shared" si="0"/>
        <v>12.738765989965447</v>
      </c>
    </row>
    <row r="37" spans="1:7" x14ac:dyDescent="0.25">
      <c r="A37" s="592"/>
      <c r="B37" s="147" t="s">
        <v>44</v>
      </c>
      <c r="C37" s="140">
        <v>3151</v>
      </c>
      <c r="D37" s="141">
        <v>0.15973353141972821</v>
      </c>
      <c r="E37" s="140">
        <v>3612</v>
      </c>
      <c r="F37" s="142">
        <v>0.37044566398085554</v>
      </c>
      <c r="G37" s="141">
        <f t="shared" si="0"/>
        <v>22.300828971647505</v>
      </c>
    </row>
    <row r="38" spans="1:7" x14ac:dyDescent="0.25">
      <c r="A38" s="592"/>
      <c r="B38" s="147" t="s">
        <v>44</v>
      </c>
      <c r="C38" s="140">
        <v>3151</v>
      </c>
      <c r="D38" s="141">
        <v>0.10069648619379415</v>
      </c>
      <c r="E38" s="140">
        <v>3612</v>
      </c>
      <c r="F38" s="142">
        <v>0.21222896191674243</v>
      </c>
      <c r="G38" s="141">
        <f t="shared" si="0"/>
        <v>12.776183507387893</v>
      </c>
    </row>
    <row r="39" spans="1:7" x14ac:dyDescent="0.25">
      <c r="A39" s="592"/>
      <c r="B39" s="147" t="s">
        <v>51</v>
      </c>
      <c r="C39" s="140">
        <v>3336</v>
      </c>
      <c r="D39" s="141">
        <v>0.23988332513698091</v>
      </c>
      <c r="E39" s="140">
        <v>3831</v>
      </c>
      <c r="F39" s="142">
        <v>0.42977357342091277</v>
      </c>
      <c r="G39" s="141">
        <f t="shared" si="0"/>
        <v>27.44104266292528</v>
      </c>
    </row>
    <row r="40" spans="1:7" x14ac:dyDescent="0.25">
      <c r="A40" s="592"/>
      <c r="B40" s="147" t="s">
        <v>52</v>
      </c>
      <c r="C40" s="140">
        <v>3458</v>
      </c>
      <c r="D40" s="141">
        <v>0.26465813178336028</v>
      </c>
      <c r="E40" s="140">
        <v>3958</v>
      </c>
      <c r="F40" s="142">
        <v>0.46181088482690158</v>
      </c>
      <c r="G40" s="141">
        <f t="shared" si="0"/>
        <v>30.464124702414608</v>
      </c>
    </row>
    <row r="41" spans="1:7" x14ac:dyDescent="0.25">
      <c r="A41" s="592"/>
      <c r="B41" s="147" t="s">
        <v>53</v>
      </c>
      <c r="C41" s="140">
        <v>3458</v>
      </c>
      <c r="D41" s="141">
        <v>5.4032190588197811E-2</v>
      </c>
      <c r="E41" s="140">
        <v>3958</v>
      </c>
      <c r="F41" s="142">
        <v>0.12828117321230417</v>
      </c>
      <c r="G41" s="141">
        <f t="shared" si="0"/>
        <v>8.4622813929049983</v>
      </c>
    </row>
    <row r="42" spans="1:7" ht="15" customHeight="1" x14ac:dyDescent="0.25">
      <c r="A42" s="592"/>
      <c r="B42" s="147" t="s">
        <v>54</v>
      </c>
      <c r="C42" s="140">
        <v>2559</v>
      </c>
      <c r="D42" s="141">
        <v>0.73305176308015263</v>
      </c>
      <c r="E42" s="140">
        <v>2852</v>
      </c>
      <c r="F42" s="142">
        <v>1.22735366855737</v>
      </c>
      <c r="G42" s="141">
        <f t="shared" si="0"/>
        <v>58.340211045426997</v>
      </c>
    </row>
    <row r="43" spans="1:7" x14ac:dyDescent="0.25">
      <c r="A43" s="592"/>
      <c r="B43" s="147" t="s">
        <v>54</v>
      </c>
      <c r="C43" s="140">
        <v>2559</v>
      </c>
      <c r="D43" s="141">
        <v>9.4206019880051756E-2</v>
      </c>
      <c r="E43" s="140">
        <v>2852</v>
      </c>
      <c r="F43" s="142">
        <v>9.5871835275254405E-2</v>
      </c>
      <c r="G43" s="141">
        <f t="shared" si="0"/>
        <v>4.5571079034170925</v>
      </c>
    </row>
    <row r="44" spans="1:7" ht="15.75" thickBot="1" x14ac:dyDescent="0.3">
      <c r="A44" s="593"/>
      <c r="B44" s="149" t="s">
        <v>55</v>
      </c>
      <c r="C44" s="143">
        <v>3502</v>
      </c>
      <c r="D44" s="144">
        <v>3.9602266586508401</v>
      </c>
      <c r="E44" s="143">
        <v>3933</v>
      </c>
      <c r="F44" s="145">
        <v>4.0725312140918319</v>
      </c>
      <c r="G44" s="144">
        <f t="shared" si="0"/>
        <v>266.95442108371958</v>
      </c>
    </row>
    <row r="46" spans="1:7" x14ac:dyDescent="0.25">
      <c r="F46" s="151" t="s">
        <v>74</v>
      </c>
      <c r="G46" s="152">
        <f>SUM(G6:G44)</f>
        <v>872.928961071294</v>
      </c>
    </row>
    <row r="48" spans="1:7" ht="15.75" thickBot="1" x14ac:dyDescent="0.3"/>
    <row r="49" spans="1:7" ht="15.75" thickBot="1" x14ac:dyDescent="0.3">
      <c r="A49" s="129"/>
      <c r="B49" s="81"/>
      <c r="C49" s="81"/>
      <c r="D49" s="81"/>
      <c r="E49" s="594" t="s">
        <v>69</v>
      </c>
      <c r="F49" s="444"/>
      <c r="G49" s="445"/>
    </row>
    <row r="50" spans="1:7" ht="45.75" thickBot="1" x14ac:dyDescent="0.3">
      <c r="A50" s="130"/>
      <c r="B50" s="110"/>
      <c r="C50" s="110"/>
      <c r="D50" s="110"/>
      <c r="E50" s="134" t="s">
        <v>58</v>
      </c>
      <c r="F50" s="135" t="s">
        <v>40</v>
      </c>
      <c r="G50" s="136" t="s">
        <v>66</v>
      </c>
    </row>
    <row r="51" spans="1:7" x14ac:dyDescent="0.25">
      <c r="A51" s="592" t="s">
        <v>57</v>
      </c>
      <c r="B51" s="147"/>
      <c r="C51" s="125"/>
      <c r="D51" s="125"/>
      <c r="E51" s="137"/>
      <c r="F51" s="139"/>
      <c r="G51" s="138"/>
    </row>
    <row r="52" spans="1:7" x14ac:dyDescent="0.25">
      <c r="A52" s="592"/>
      <c r="B52" s="147"/>
      <c r="C52" s="125"/>
      <c r="D52" s="125"/>
      <c r="E52" s="140"/>
      <c r="F52" s="142"/>
      <c r="G52" s="141"/>
    </row>
    <row r="53" spans="1:7" x14ac:dyDescent="0.25">
      <c r="A53" s="592"/>
      <c r="B53" s="147"/>
      <c r="C53" s="125"/>
      <c r="D53" s="125"/>
      <c r="E53" s="140"/>
      <c r="F53" s="142"/>
      <c r="G53" s="141"/>
    </row>
    <row r="54" spans="1:7" x14ac:dyDescent="0.25">
      <c r="A54" s="592"/>
      <c r="B54" s="147"/>
      <c r="C54" s="125"/>
      <c r="D54" s="125"/>
      <c r="E54" s="140"/>
      <c r="F54" s="142"/>
      <c r="G54" s="141"/>
    </row>
    <row r="55" spans="1:7" x14ac:dyDescent="0.25">
      <c r="A55" s="592"/>
      <c r="B55" s="147"/>
      <c r="C55" s="125"/>
      <c r="D55" s="125"/>
      <c r="E55" s="140"/>
      <c r="F55" s="142"/>
      <c r="G55" s="141"/>
    </row>
    <row r="56" spans="1:7" x14ac:dyDescent="0.25">
      <c r="A56" s="592"/>
      <c r="B56" s="147"/>
      <c r="C56" s="125"/>
      <c r="D56" s="125"/>
      <c r="E56" s="140"/>
      <c r="F56" s="142"/>
      <c r="G56" s="141"/>
    </row>
    <row r="57" spans="1:7" x14ac:dyDescent="0.25">
      <c r="A57" s="592"/>
      <c r="B57" s="148"/>
      <c r="C57" s="106"/>
      <c r="D57" s="106"/>
      <c r="E57" s="140"/>
      <c r="F57" s="142"/>
      <c r="G57" s="141"/>
    </row>
    <row r="58" spans="1:7" x14ac:dyDescent="0.25">
      <c r="A58" s="592"/>
      <c r="B58" s="147"/>
      <c r="C58" s="125"/>
      <c r="D58" s="125"/>
      <c r="E58" s="140"/>
      <c r="F58" s="142"/>
      <c r="G58" s="141"/>
    </row>
    <row r="59" spans="1:7" x14ac:dyDescent="0.25">
      <c r="A59" s="592"/>
      <c r="B59" s="147" t="s">
        <v>41</v>
      </c>
      <c r="C59" s="125"/>
      <c r="D59" s="125"/>
      <c r="E59" s="140">
        <v>4077</v>
      </c>
      <c r="F59" s="142">
        <v>4.504128460474522E-2</v>
      </c>
      <c r="G59" s="141">
        <f t="shared" ref="G59:G86" si="1">E59*(F59/60)</f>
        <v>3.0605552888924374</v>
      </c>
    </row>
    <row r="60" spans="1:7" x14ac:dyDescent="0.25">
      <c r="A60" s="592"/>
      <c r="B60" s="147" t="s">
        <v>60</v>
      </c>
      <c r="C60" s="125"/>
      <c r="D60" s="125"/>
      <c r="E60" s="140">
        <v>4077</v>
      </c>
      <c r="F60" s="142">
        <v>0.41784902818069114</v>
      </c>
      <c r="G60" s="141">
        <f t="shared" si="1"/>
        <v>28.392841464877964</v>
      </c>
    </row>
    <row r="61" spans="1:7" x14ac:dyDescent="0.25">
      <c r="A61" s="592"/>
      <c r="B61" s="147" t="s">
        <v>61</v>
      </c>
      <c r="C61" s="125"/>
      <c r="D61" s="125"/>
      <c r="E61" s="140">
        <v>4077</v>
      </c>
      <c r="F61" s="142">
        <v>0.36531204639344272</v>
      </c>
      <c r="G61" s="141">
        <f t="shared" si="1"/>
        <v>24.822953552434434</v>
      </c>
    </row>
    <row r="62" spans="1:7" x14ac:dyDescent="0.25">
      <c r="A62" s="592"/>
      <c r="B62" s="147" t="s">
        <v>62</v>
      </c>
      <c r="C62" s="125"/>
      <c r="D62" s="125"/>
      <c r="E62" s="140">
        <v>3569</v>
      </c>
      <c r="F62" s="142">
        <v>0.14352882935508379</v>
      </c>
      <c r="G62" s="141">
        <f t="shared" si="1"/>
        <v>8.5375731994715665</v>
      </c>
    </row>
    <row r="63" spans="1:7" x14ac:dyDescent="0.25">
      <c r="A63" s="592"/>
      <c r="B63" s="147" t="s">
        <v>63</v>
      </c>
      <c r="C63" s="125"/>
      <c r="D63" s="125"/>
      <c r="E63" s="140">
        <v>4091</v>
      </c>
      <c r="F63" s="142">
        <v>0.37099684138436501</v>
      </c>
      <c r="G63" s="141">
        <f t="shared" si="1"/>
        <v>25.295801301723955</v>
      </c>
    </row>
    <row r="64" spans="1:7" x14ac:dyDescent="0.25">
      <c r="A64" s="592"/>
      <c r="B64" s="147" t="s">
        <v>46</v>
      </c>
      <c r="C64" s="125"/>
      <c r="D64" s="125"/>
      <c r="E64" s="140">
        <v>2618</v>
      </c>
      <c r="F64" s="142">
        <v>0.34369822212885714</v>
      </c>
      <c r="G64" s="141">
        <f t="shared" si="1"/>
        <v>14.996699092222467</v>
      </c>
    </row>
    <row r="65" spans="1:7" x14ac:dyDescent="0.25">
      <c r="A65" s="592"/>
      <c r="B65" s="147" t="s">
        <v>46</v>
      </c>
      <c r="C65" s="125"/>
      <c r="D65" s="125"/>
      <c r="E65" s="140">
        <v>2618</v>
      </c>
      <c r="F65" s="142">
        <v>0.42756596287558762</v>
      </c>
      <c r="G65" s="141">
        <f t="shared" si="1"/>
        <v>18.65612818013814</v>
      </c>
    </row>
    <row r="66" spans="1:7" x14ac:dyDescent="0.25">
      <c r="A66" s="592"/>
      <c r="B66" s="147" t="s">
        <v>47</v>
      </c>
      <c r="C66" s="125"/>
      <c r="D66" s="125"/>
      <c r="E66" s="140">
        <v>3775</v>
      </c>
      <c r="F66" s="142">
        <v>0.88284503253557589</v>
      </c>
      <c r="G66" s="141">
        <f t="shared" si="1"/>
        <v>55.545666630363314</v>
      </c>
    </row>
    <row r="67" spans="1:7" ht="15.75" thickBot="1" x14ac:dyDescent="0.3">
      <c r="A67" s="592"/>
      <c r="B67" s="147" t="s">
        <v>48</v>
      </c>
      <c r="C67" s="125"/>
      <c r="D67" s="125"/>
      <c r="E67" s="143">
        <v>3775</v>
      </c>
      <c r="F67" s="145">
        <v>3.1952625344878354</v>
      </c>
      <c r="G67" s="144">
        <f t="shared" si="1"/>
        <v>201.03526779485964</v>
      </c>
    </row>
    <row r="68" spans="1:7" x14ac:dyDescent="0.25">
      <c r="A68" s="591" t="s">
        <v>56</v>
      </c>
      <c r="B68" s="146"/>
      <c r="C68" s="153"/>
      <c r="D68" s="153"/>
      <c r="E68" s="137"/>
      <c r="F68" s="139"/>
      <c r="G68" s="138"/>
    </row>
    <row r="69" spans="1:7" x14ac:dyDescent="0.25">
      <c r="A69" s="592"/>
      <c r="B69" s="147"/>
      <c r="C69" s="125"/>
      <c r="D69" s="125"/>
      <c r="E69" s="140"/>
      <c r="F69" s="142"/>
      <c r="G69" s="141"/>
    </row>
    <row r="70" spans="1:7" x14ac:dyDescent="0.25">
      <c r="A70" s="592"/>
      <c r="B70" s="147"/>
      <c r="C70" s="125"/>
      <c r="D70" s="125"/>
      <c r="E70" s="140"/>
      <c r="F70" s="142"/>
      <c r="G70" s="141"/>
    </row>
    <row r="71" spans="1:7" x14ac:dyDescent="0.25">
      <c r="A71" s="592"/>
      <c r="B71" s="147"/>
      <c r="C71" s="125"/>
      <c r="D71" s="125"/>
      <c r="E71" s="140"/>
      <c r="F71" s="142"/>
      <c r="G71" s="141"/>
    </row>
    <row r="72" spans="1:7" x14ac:dyDescent="0.25">
      <c r="A72" s="592"/>
      <c r="B72" s="147"/>
      <c r="C72" s="125"/>
      <c r="D72" s="125"/>
      <c r="E72" s="140"/>
      <c r="F72" s="142"/>
      <c r="G72" s="141"/>
    </row>
    <row r="73" spans="1:7" x14ac:dyDescent="0.25">
      <c r="A73" s="592"/>
      <c r="B73" s="147"/>
      <c r="C73" s="125"/>
      <c r="D73" s="125"/>
      <c r="E73" s="140"/>
      <c r="F73" s="142"/>
      <c r="G73" s="141"/>
    </row>
    <row r="74" spans="1:7" x14ac:dyDescent="0.25">
      <c r="A74" s="592"/>
      <c r="B74" s="147"/>
      <c r="C74" s="125"/>
      <c r="D74" s="125"/>
      <c r="E74" s="140"/>
      <c r="F74" s="142"/>
      <c r="G74" s="141"/>
    </row>
    <row r="75" spans="1:7" x14ac:dyDescent="0.25">
      <c r="A75" s="592"/>
      <c r="B75" s="147"/>
      <c r="C75" s="125"/>
      <c r="D75" s="125"/>
      <c r="E75" s="140"/>
      <c r="F75" s="142"/>
      <c r="G75" s="141"/>
    </row>
    <row r="76" spans="1:7" x14ac:dyDescent="0.25">
      <c r="A76" s="592"/>
      <c r="B76" s="150"/>
      <c r="C76" s="117"/>
      <c r="D76" s="117"/>
      <c r="E76" s="140"/>
      <c r="F76" s="142"/>
      <c r="G76" s="141"/>
    </row>
    <row r="77" spans="1:7" x14ac:dyDescent="0.25">
      <c r="A77" s="592"/>
      <c r="B77" s="147"/>
      <c r="C77" s="125"/>
      <c r="D77" s="125"/>
      <c r="E77" s="140"/>
      <c r="F77" s="142"/>
      <c r="G77" s="141"/>
    </row>
    <row r="78" spans="1:7" x14ac:dyDescent="0.25">
      <c r="A78" s="592"/>
      <c r="B78" s="147"/>
      <c r="C78" s="125"/>
      <c r="D78" s="125"/>
      <c r="E78" s="140"/>
      <c r="F78" s="142"/>
      <c r="G78" s="141"/>
    </row>
    <row r="79" spans="1:7" x14ac:dyDescent="0.25">
      <c r="A79" s="592"/>
      <c r="B79" s="147"/>
      <c r="C79" s="125"/>
      <c r="D79" s="125"/>
      <c r="E79" s="140"/>
      <c r="F79" s="142"/>
      <c r="G79" s="141"/>
    </row>
    <row r="80" spans="1:7" x14ac:dyDescent="0.25">
      <c r="A80" s="592"/>
      <c r="B80" s="147" t="s">
        <v>60</v>
      </c>
      <c r="C80" s="125"/>
      <c r="D80" s="125"/>
      <c r="E80" s="140">
        <v>4399</v>
      </c>
      <c r="F80" s="142">
        <v>0.24732820593214899</v>
      </c>
      <c r="G80" s="141">
        <f t="shared" si="1"/>
        <v>18.133279631592057</v>
      </c>
    </row>
    <row r="81" spans="1:7" x14ac:dyDescent="0.25">
      <c r="A81" s="592"/>
      <c r="B81" s="147" t="s">
        <v>50</v>
      </c>
      <c r="C81" s="125"/>
      <c r="D81" s="125"/>
      <c r="E81" s="140">
        <v>4399</v>
      </c>
      <c r="F81" s="142">
        <v>0.15565136877404617</v>
      </c>
      <c r="G81" s="141">
        <f t="shared" si="1"/>
        <v>11.411839520617152</v>
      </c>
    </row>
    <row r="82" spans="1:7" x14ac:dyDescent="0.25">
      <c r="A82" s="592"/>
      <c r="B82" s="147" t="s">
        <v>44</v>
      </c>
      <c r="C82" s="125"/>
      <c r="D82" s="125"/>
      <c r="E82" s="140">
        <v>3635</v>
      </c>
      <c r="F82" s="142">
        <v>0.14081072723806309</v>
      </c>
      <c r="G82" s="141">
        <f t="shared" si="1"/>
        <v>8.5307832251726552</v>
      </c>
    </row>
    <row r="83" spans="1:7" x14ac:dyDescent="0.25">
      <c r="A83" s="592"/>
      <c r="B83" s="147" t="s">
        <v>64</v>
      </c>
      <c r="C83" s="125"/>
      <c r="D83" s="125"/>
      <c r="E83" s="140">
        <v>4004</v>
      </c>
      <c r="F83" s="142">
        <v>0.22669388962166487</v>
      </c>
      <c r="G83" s="141">
        <f t="shared" si="1"/>
        <v>15.128038900752435</v>
      </c>
    </row>
    <row r="84" spans="1:7" x14ac:dyDescent="0.25">
      <c r="A84" s="592"/>
      <c r="B84" s="147" t="s">
        <v>65</v>
      </c>
      <c r="C84" s="125"/>
      <c r="D84" s="125"/>
      <c r="E84" s="140">
        <v>4004</v>
      </c>
      <c r="F84" s="142">
        <v>0.31717563077137972</v>
      </c>
      <c r="G84" s="141">
        <f t="shared" si="1"/>
        <v>21.16618709347674</v>
      </c>
    </row>
    <row r="85" spans="1:7" x14ac:dyDescent="0.25">
      <c r="A85" s="592"/>
      <c r="B85" s="147" t="s">
        <v>54</v>
      </c>
      <c r="C85" s="125"/>
      <c r="D85" s="125"/>
      <c r="E85" s="140">
        <v>2853</v>
      </c>
      <c r="F85" s="142">
        <v>0.73463633309312426</v>
      </c>
      <c r="G85" s="141">
        <f t="shared" si="1"/>
        <v>34.931957638578055</v>
      </c>
    </row>
    <row r="86" spans="1:7" ht="15.75" thickBot="1" x14ac:dyDescent="0.3">
      <c r="A86" s="593"/>
      <c r="B86" s="149" t="s">
        <v>55</v>
      </c>
      <c r="C86" s="154"/>
      <c r="D86" s="154"/>
      <c r="E86" s="143">
        <v>3935</v>
      </c>
      <c r="F86" s="145">
        <v>4.1207811174513527</v>
      </c>
      <c r="G86" s="144">
        <f t="shared" si="1"/>
        <v>270.25456161951786</v>
      </c>
    </row>
    <row r="87" spans="1:7" x14ac:dyDescent="0.25">
      <c r="A87" s="591" t="s">
        <v>68</v>
      </c>
      <c r="B87" s="146"/>
      <c r="C87" s="153"/>
      <c r="D87" s="153"/>
      <c r="E87" s="137"/>
      <c r="F87" s="139"/>
      <c r="G87" s="138"/>
    </row>
    <row r="88" spans="1:7" x14ac:dyDescent="0.25">
      <c r="A88" s="592"/>
      <c r="B88" s="147"/>
      <c r="C88" s="125"/>
      <c r="D88" s="125"/>
      <c r="E88" s="140"/>
      <c r="F88" s="142"/>
      <c r="G88" s="141"/>
    </row>
    <row r="89" spans="1:7" x14ac:dyDescent="0.25">
      <c r="A89" s="592"/>
      <c r="B89" s="147"/>
      <c r="C89" s="125"/>
      <c r="D89" s="125"/>
      <c r="E89" s="140"/>
      <c r="F89" s="142"/>
      <c r="G89" s="141"/>
    </row>
    <row r="90" spans="1:7" x14ac:dyDescent="0.25">
      <c r="A90" s="592"/>
      <c r="B90" s="147"/>
      <c r="C90" s="125"/>
      <c r="D90" s="125"/>
      <c r="E90" s="140"/>
      <c r="F90" s="142"/>
      <c r="G90" s="141"/>
    </row>
    <row r="91" spans="1:7" ht="15.75" thickBot="1" x14ac:dyDescent="0.3">
      <c r="A91" s="593"/>
      <c r="B91" s="149"/>
      <c r="C91" s="154"/>
      <c r="D91" s="154"/>
      <c r="E91" s="143"/>
      <c r="F91" s="145"/>
      <c r="G91" s="144"/>
    </row>
    <row r="93" spans="1:7" x14ac:dyDescent="0.25">
      <c r="F93" s="151" t="s">
        <v>75</v>
      </c>
      <c r="G93" s="152">
        <f>SUM(G51:G91)</f>
        <v>759.90013413469092</v>
      </c>
    </row>
    <row r="95" spans="1:7" x14ac:dyDescent="0.25">
      <c r="F95" s="151" t="s">
        <v>72</v>
      </c>
      <c r="G95" s="152">
        <f>G46-G93</f>
        <v>113.02882693660308</v>
      </c>
    </row>
  </sheetData>
  <mergeCells count="8">
    <mergeCell ref="A68:A86"/>
    <mergeCell ref="A87:A91"/>
    <mergeCell ref="C4:D4"/>
    <mergeCell ref="E4:G4"/>
    <mergeCell ref="A6:A24"/>
    <mergeCell ref="A25:A44"/>
    <mergeCell ref="E49:G49"/>
    <mergeCell ref="A51:A67"/>
  </mergeCells>
  <pageMargins left="0.7" right="0.7" top="0.75" bottom="0.75" header="0.3" footer="0.3"/>
  <pageSetup paperSize="133" scale="7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4B46C-47C1-4CEC-8267-4ACED0654A39}">
  <sheetPr>
    <pageSetUpPr fitToPage="1"/>
  </sheetPr>
  <dimension ref="A1:M48"/>
  <sheetViews>
    <sheetView tabSelected="1" view="pageBreakPreview" zoomScale="70" zoomScaleNormal="100" zoomScaleSheetLayoutView="70" workbookViewId="0">
      <selection activeCell="E44" sqref="E44"/>
    </sheetView>
  </sheetViews>
  <sheetFormatPr defaultRowHeight="15" x14ac:dyDescent="0.25"/>
  <cols>
    <col min="1" max="4" width="12.7109375" style="267" customWidth="1"/>
    <col min="5" max="5" width="14.7109375" style="267" customWidth="1"/>
    <col min="6" max="13" width="12.7109375" style="267" customWidth="1"/>
    <col min="14" max="16384" width="9.140625" style="267"/>
  </cols>
  <sheetData>
    <row r="1" spans="1:7" x14ac:dyDescent="0.25">
      <c r="A1" s="267" t="s">
        <v>219</v>
      </c>
    </row>
    <row r="3" spans="1:7" x14ac:dyDescent="0.25">
      <c r="D3" s="267" t="s">
        <v>225</v>
      </c>
    </row>
    <row r="5" spans="1:7" x14ac:dyDescent="0.25">
      <c r="D5" s="151" t="s">
        <v>228</v>
      </c>
      <c r="E5" s="185">
        <v>1804147</v>
      </c>
      <c r="F5" s="155" t="s">
        <v>226</v>
      </c>
    </row>
    <row r="6" spans="1:7" x14ac:dyDescent="0.25">
      <c r="D6" s="151" t="s">
        <v>229</v>
      </c>
      <c r="E6" s="185">
        <v>595431</v>
      </c>
      <c r="F6" s="155" t="s">
        <v>226</v>
      </c>
    </row>
    <row r="7" spans="1:7" x14ac:dyDescent="0.25">
      <c r="D7" s="151" t="s">
        <v>230</v>
      </c>
      <c r="E7" s="185">
        <v>686</v>
      </c>
      <c r="F7" s="155" t="s">
        <v>226</v>
      </c>
    </row>
    <row r="8" spans="1:7" x14ac:dyDescent="0.25">
      <c r="D8" s="151"/>
      <c r="E8" s="185"/>
      <c r="F8" s="155"/>
    </row>
    <row r="9" spans="1:7" x14ac:dyDescent="0.25">
      <c r="D9" s="151" t="s">
        <v>231</v>
      </c>
      <c r="E9" s="185">
        <v>34277</v>
      </c>
      <c r="F9" s="155" t="s">
        <v>226</v>
      </c>
    </row>
    <row r="10" spans="1:7" x14ac:dyDescent="0.25">
      <c r="D10" s="151" t="s">
        <v>232</v>
      </c>
      <c r="E10" s="185">
        <v>10370</v>
      </c>
      <c r="F10" s="155" t="s">
        <v>226</v>
      </c>
    </row>
    <row r="11" spans="1:7" x14ac:dyDescent="0.25">
      <c r="D11" s="151" t="s">
        <v>233</v>
      </c>
      <c r="E11" s="185">
        <v>1012953</v>
      </c>
      <c r="F11" s="155" t="s">
        <v>226</v>
      </c>
    </row>
    <row r="12" spans="1:7" x14ac:dyDescent="0.25">
      <c r="D12" s="151"/>
      <c r="E12" s="152"/>
      <c r="F12" s="155"/>
    </row>
    <row r="13" spans="1:7" x14ac:dyDescent="0.25">
      <c r="D13" s="151" t="s">
        <v>227</v>
      </c>
      <c r="E13" s="185">
        <f>SUM(E5:E11)</f>
        <v>3457864</v>
      </c>
      <c r="F13" s="155" t="s">
        <v>234</v>
      </c>
    </row>
    <row r="14" spans="1:7" x14ac:dyDescent="0.25">
      <c r="D14" s="151"/>
      <c r="E14" s="185"/>
      <c r="F14" s="155"/>
    </row>
    <row r="15" spans="1:7" x14ac:dyDescent="0.25">
      <c r="B15" s="267" t="s">
        <v>309</v>
      </c>
      <c r="D15" s="151"/>
      <c r="E15" s="185"/>
      <c r="F15" s="423">
        <v>21.45</v>
      </c>
      <c r="G15" s="267" t="s">
        <v>308</v>
      </c>
    </row>
    <row r="16" spans="1:7" x14ac:dyDescent="0.25">
      <c r="D16" s="151"/>
      <c r="E16" s="185"/>
      <c r="F16" s="423"/>
    </row>
    <row r="17" spans="2:6" x14ac:dyDescent="0.25">
      <c r="B17" s="267" t="s">
        <v>94</v>
      </c>
      <c r="C17" s="182">
        <v>0.02</v>
      </c>
      <c r="D17" s="267" t="s">
        <v>95</v>
      </c>
    </row>
    <row r="18" spans="2:6" x14ac:dyDescent="0.25">
      <c r="C18" s="183">
        <v>0.98</v>
      </c>
      <c r="D18" s="267" t="s">
        <v>96</v>
      </c>
    </row>
    <row r="19" spans="2:6" x14ac:dyDescent="0.25">
      <c r="D19" s="186">
        <v>0.02</v>
      </c>
      <c r="E19" s="267" t="s">
        <v>100</v>
      </c>
    </row>
    <row r="20" spans="2:6" x14ac:dyDescent="0.25">
      <c r="C20" s="183"/>
      <c r="D20" s="186">
        <v>0.98</v>
      </c>
      <c r="E20" s="267" t="s">
        <v>101</v>
      </c>
    </row>
    <row r="21" spans="2:6" x14ac:dyDescent="0.25">
      <c r="D21" s="151"/>
      <c r="E21" s="185"/>
      <c r="F21" s="423"/>
    </row>
    <row r="22" spans="2:6" x14ac:dyDescent="0.25">
      <c r="D22" s="151" t="s">
        <v>97</v>
      </c>
      <c r="E22" s="267" t="s">
        <v>98</v>
      </c>
      <c r="F22" s="423"/>
    </row>
    <row r="23" spans="2:6" x14ac:dyDescent="0.25">
      <c r="D23" s="184" t="s">
        <v>99</v>
      </c>
      <c r="E23" s="185">
        <f>C17*'Travel Times Savings'!D24*'Travel Times Savings'!D32</f>
        <v>0.59</v>
      </c>
      <c r="F23" s="423"/>
    </row>
    <row r="24" spans="2:6" x14ac:dyDescent="0.25">
      <c r="F24" s="423"/>
    </row>
    <row r="25" spans="2:6" x14ac:dyDescent="0.25">
      <c r="D25" s="151" t="s">
        <v>102</v>
      </c>
      <c r="E25" s="267" t="s">
        <v>104</v>
      </c>
      <c r="F25" s="423"/>
    </row>
    <row r="26" spans="2:6" x14ac:dyDescent="0.25">
      <c r="D26" s="184" t="s">
        <v>99</v>
      </c>
      <c r="E26" s="185">
        <f>C18*D19*'Travel Times Savings'!D21*'Travel Times Savings'!D31</f>
        <v>0.78611679999999995</v>
      </c>
      <c r="F26" s="423"/>
    </row>
    <row r="27" spans="2:6" x14ac:dyDescent="0.25">
      <c r="F27" s="423"/>
    </row>
    <row r="28" spans="2:6" x14ac:dyDescent="0.25">
      <c r="D28" s="151" t="s">
        <v>103</v>
      </c>
      <c r="E28" s="267" t="s">
        <v>105</v>
      </c>
      <c r="F28" s="423"/>
    </row>
    <row r="29" spans="2:6" x14ac:dyDescent="0.25">
      <c r="D29" s="184" t="s">
        <v>99</v>
      </c>
      <c r="E29" s="185">
        <f>C18*D20*'Travel Times Savings'!D20*'Travel Times Savings'!D31</f>
        <v>21.605158399999997</v>
      </c>
      <c r="F29" s="423"/>
    </row>
    <row r="30" spans="2:6" x14ac:dyDescent="0.25">
      <c r="F30" s="423"/>
    </row>
    <row r="31" spans="2:6" x14ac:dyDescent="0.25">
      <c r="D31" s="151" t="s">
        <v>106</v>
      </c>
      <c r="E31" s="267" t="s">
        <v>107</v>
      </c>
      <c r="F31" s="423"/>
    </row>
    <row r="32" spans="2:6" x14ac:dyDescent="0.25">
      <c r="D32" s="184" t="s">
        <v>99</v>
      </c>
      <c r="E32" s="185">
        <f>SUM(E23+E26+E29)</f>
        <v>22.981275199999995</v>
      </c>
      <c r="F32" s="423"/>
    </row>
    <row r="33" spans="2:13" x14ac:dyDescent="0.25">
      <c r="D33" s="151"/>
      <c r="E33" s="185"/>
      <c r="F33" s="155"/>
      <c r="L33" s="182"/>
    </row>
    <row r="34" spans="2:13" x14ac:dyDescent="0.25">
      <c r="B34" s="267" t="s">
        <v>307</v>
      </c>
      <c r="D34" s="151"/>
      <c r="E34" s="185"/>
      <c r="F34" s="424">
        <f>E32</f>
        <v>22.981275199999995</v>
      </c>
      <c r="G34" s="267" t="s">
        <v>308</v>
      </c>
      <c r="L34" s="183"/>
    </row>
    <row r="35" spans="2:13" x14ac:dyDescent="0.25">
      <c r="D35" s="151"/>
      <c r="E35" s="185"/>
      <c r="F35" s="155"/>
      <c r="M35" s="186"/>
    </row>
    <row r="36" spans="2:13" x14ac:dyDescent="0.25">
      <c r="D36" s="151" t="s">
        <v>310</v>
      </c>
      <c r="E36" s="185">
        <f>E13*(F34/F15)</f>
        <v>3704714.4143670294</v>
      </c>
      <c r="F36" s="155"/>
      <c r="L36" s="183"/>
      <c r="M36" s="186"/>
    </row>
    <row r="37" spans="2:13" x14ac:dyDescent="0.25">
      <c r="D37" s="151"/>
      <c r="E37" s="185"/>
      <c r="F37" s="155"/>
    </row>
    <row r="38" spans="2:13" x14ac:dyDescent="0.25">
      <c r="B38" s="267" t="s">
        <v>311</v>
      </c>
      <c r="D38" s="151"/>
      <c r="E38" s="152"/>
      <c r="F38" s="155"/>
    </row>
    <row r="39" spans="2:13" x14ac:dyDescent="0.25">
      <c r="B39" s="267" t="s">
        <v>312</v>
      </c>
      <c r="D39" s="151"/>
      <c r="E39" s="152"/>
      <c r="F39" s="155"/>
    </row>
    <row r="40" spans="2:13" x14ac:dyDescent="0.25">
      <c r="C40" s="9"/>
      <c r="D40" s="128"/>
      <c r="E40" s="189"/>
    </row>
    <row r="41" spans="2:13" x14ac:dyDescent="0.25">
      <c r="B41" s="267" t="s">
        <v>313</v>
      </c>
    </row>
    <row r="42" spans="2:13" x14ac:dyDescent="0.25">
      <c r="B42" s="267" t="s">
        <v>314</v>
      </c>
    </row>
    <row r="43" spans="2:13" x14ac:dyDescent="0.25">
      <c r="B43" s="267" t="s">
        <v>315</v>
      </c>
      <c r="C43" s="182"/>
      <c r="D43" s="151"/>
      <c r="E43" s="326"/>
    </row>
    <row r="44" spans="2:13" x14ac:dyDescent="0.25">
      <c r="C44" s="183"/>
      <c r="D44" s="128" t="s">
        <v>316</v>
      </c>
      <c r="E44" s="326">
        <f>24/20</f>
        <v>1.2</v>
      </c>
    </row>
    <row r="45" spans="2:13" x14ac:dyDescent="0.25">
      <c r="D45" s="186"/>
    </row>
    <row r="46" spans="2:13" x14ac:dyDescent="0.25">
      <c r="C46" s="183"/>
      <c r="D46" s="327"/>
      <c r="E46" s="189"/>
    </row>
    <row r="48" spans="2:13" x14ac:dyDescent="0.25">
      <c r="D48" s="151" t="s">
        <v>108</v>
      </c>
      <c r="E48" s="187">
        <f>E36*E44</f>
        <v>4445657.2972404351</v>
      </c>
      <c r="F48" s="267" t="s">
        <v>271</v>
      </c>
    </row>
  </sheetData>
  <pageMargins left="0.7" right="0.7" top="0.75" bottom="0.75" header="0.3" footer="0.3"/>
  <pageSetup paperSize="133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6DEE9-B3A3-4F5F-A04C-4FE8D09F711A}">
  <sheetPr>
    <pageSetUpPr fitToPage="1"/>
  </sheetPr>
  <dimension ref="A1:AF45"/>
  <sheetViews>
    <sheetView showGridLines="0" view="pageBreakPreview" zoomScale="85" zoomScaleNormal="100" zoomScaleSheetLayoutView="85" workbookViewId="0">
      <selection activeCell="E26" sqref="E26"/>
    </sheetView>
  </sheetViews>
  <sheetFormatPr defaultColWidth="3.7109375" defaultRowHeight="18.75" customHeight="1" x14ac:dyDescent="0.2"/>
  <cols>
    <col min="1" max="1" width="4.85546875" style="332" customWidth="1"/>
    <col min="2" max="31" width="3.28515625" style="332" customWidth="1"/>
    <col min="32" max="32" width="1.28515625" style="332" customWidth="1"/>
    <col min="33" max="16384" width="3.7109375" style="332"/>
  </cols>
  <sheetData>
    <row r="1" spans="1:32" ht="5.45" customHeight="1" x14ac:dyDescent="0.2">
      <c r="A1" s="355"/>
      <c r="B1" s="353"/>
      <c r="C1" s="353"/>
      <c r="D1" s="353"/>
      <c r="E1" s="353"/>
      <c r="F1" s="355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33"/>
    </row>
    <row r="2" spans="1:32" ht="14.25" customHeight="1" x14ac:dyDescent="0.25">
      <c r="A2" s="494" t="s">
        <v>247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349"/>
      <c r="Q2" s="349"/>
      <c r="R2" s="349" t="s">
        <v>246</v>
      </c>
      <c r="S2" s="348"/>
      <c r="T2" s="499" t="s">
        <v>214</v>
      </c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333"/>
    </row>
    <row r="3" spans="1:32" ht="14.25" customHeight="1" x14ac:dyDescent="0.2">
      <c r="A3" s="493" t="s">
        <v>245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349"/>
      <c r="Q3" s="349"/>
      <c r="R3" s="349" t="s">
        <v>244</v>
      </c>
      <c r="S3" s="333"/>
      <c r="T3" s="351"/>
      <c r="U3" s="354"/>
      <c r="V3" s="495">
        <v>1</v>
      </c>
      <c r="W3" s="495"/>
      <c r="X3" s="495"/>
      <c r="Y3" s="495"/>
      <c r="Z3" s="500" t="s">
        <v>243</v>
      </c>
      <c r="AA3" s="500"/>
      <c r="AB3" s="495"/>
      <c r="AC3" s="495"/>
      <c r="AD3" s="495"/>
      <c r="AE3" s="495"/>
      <c r="AF3" s="333"/>
    </row>
    <row r="4" spans="1:32" ht="14.25" customHeight="1" x14ac:dyDescent="0.2">
      <c r="A4" s="493" t="s">
        <v>242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349"/>
      <c r="Q4" s="349"/>
      <c r="R4" s="349" t="s">
        <v>241</v>
      </c>
      <c r="S4" s="333"/>
      <c r="T4" s="349"/>
      <c r="U4" s="347"/>
      <c r="V4" s="495" t="s">
        <v>257</v>
      </c>
      <c r="W4" s="495"/>
      <c r="X4" s="495"/>
      <c r="Y4" s="495"/>
      <c r="Z4" s="347" t="s">
        <v>239</v>
      </c>
      <c r="AA4" s="347"/>
      <c r="AB4" s="498">
        <v>43873</v>
      </c>
      <c r="AC4" s="498"/>
      <c r="AD4" s="498"/>
      <c r="AE4" s="498"/>
      <c r="AF4" s="333"/>
    </row>
    <row r="5" spans="1:32" ht="14.25" customHeight="1" x14ac:dyDescent="0.25">
      <c r="A5" s="333"/>
      <c r="B5" s="353"/>
      <c r="C5" s="352"/>
      <c r="D5" s="352"/>
      <c r="E5" s="352"/>
      <c r="F5" s="333"/>
      <c r="G5" s="350"/>
      <c r="H5" s="352"/>
      <c r="I5" s="352"/>
      <c r="J5" s="352"/>
      <c r="K5" s="352"/>
      <c r="L5" s="352"/>
      <c r="M5" s="352"/>
      <c r="N5" s="349"/>
      <c r="O5" s="349"/>
      <c r="P5" s="349"/>
      <c r="Q5" s="349"/>
      <c r="R5" s="349" t="s">
        <v>240</v>
      </c>
      <c r="S5" s="333"/>
      <c r="T5" s="349"/>
      <c r="U5" s="351"/>
      <c r="V5" s="495"/>
      <c r="W5" s="495"/>
      <c r="X5" s="495"/>
      <c r="Y5" s="495"/>
      <c r="Z5" s="347" t="s">
        <v>239</v>
      </c>
      <c r="AA5" s="347"/>
      <c r="AB5" s="496"/>
      <c r="AC5" s="497"/>
      <c r="AD5" s="497"/>
      <c r="AE5" s="497"/>
      <c r="AF5" s="333"/>
    </row>
    <row r="6" spans="1:32" ht="14.25" customHeight="1" x14ac:dyDescent="0.25">
      <c r="A6" s="333"/>
      <c r="C6" s="350"/>
      <c r="D6" s="350"/>
      <c r="E6" s="350"/>
      <c r="F6" s="333"/>
      <c r="G6" s="350"/>
      <c r="H6" s="350"/>
      <c r="I6" s="350"/>
      <c r="J6" s="350"/>
      <c r="K6" s="350"/>
      <c r="L6" s="350"/>
      <c r="M6" s="350"/>
      <c r="N6" s="349"/>
      <c r="O6" s="349"/>
      <c r="P6" s="349"/>
      <c r="Q6" s="349"/>
      <c r="R6" s="349" t="s">
        <v>238</v>
      </c>
      <c r="S6" s="348"/>
      <c r="T6" s="348"/>
      <c r="U6" s="348"/>
      <c r="V6" s="495">
        <v>17841</v>
      </c>
      <c r="W6" s="495"/>
      <c r="X6" s="495"/>
      <c r="Y6" s="495"/>
      <c r="Z6" s="347" t="s">
        <v>237</v>
      </c>
      <c r="AA6" s="347"/>
      <c r="AB6" s="495"/>
      <c r="AC6" s="495"/>
      <c r="AD6" s="495"/>
      <c r="AE6" s="495"/>
      <c r="AF6" s="333"/>
    </row>
    <row r="7" spans="1:32" ht="4.5" customHeight="1" thickBot="1" x14ac:dyDescent="0.25">
      <c r="A7" s="333"/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33"/>
    </row>
    <row r="8" spans="1:32" ht="18.75" customHeight="1" x14ac:dyDescent="0.2">
      <c r="A8" s="333"/>
      <c r="B8" s="345"/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3"/>
      <c r="AF8" s="333"/>
    </row>
    <row r="9" spans="1:32" ht="18.75" customHeight="1" x14ac:dyDescent="0.2">
      <c r="A9" s="333"/>
      <c r="B9" s="339"/>
      <c r="C9" s="338"/>
      <c r="D9" s="487" t="s">
        <v>290</v>
      </c>
      <c r="E9" s="488"/>
      <c r="F9" s="488"/>
      <c r="G9" s="488"/>
      <c r="H9" s="488"/>
      <c r="I9" s="488"/>
      <c r="J9" s="488"/>
      <c r="K9" s="488"/>
      <c r="L9" s="488"/>
      <c r="M9" s="488"/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  <c r="AA9" s="488"/>
      <c r="AB9" s="488"/>
      <c r="AC9" s="489"/>
      <c r="AD9" s="338"/>
      <c r="AE9" s="337"/>
      <c r="AF9" s="333"/>
    </row>
    <row r="10" spans="1:32" ht="18.75" customHeight="1" x14ac:dyDescent="0.2">
      <c r="A10" s="333"/>
      <c r="B10" s="339"/>
      <c r="C10" s="338"/>
      <c r="D10" s="490"/>
      <c r="E10" s="491"/>
      <c r="F10" s="491"/>
      <c r="G10" s="491"/>
      <c r="H10" s="491"/>
      <c r="I10" s="491"/>
      <c r="J10" s="491"/>
      <c r="K10" s="491"/>
      <c r="L10" s="491"/>
      <c r="M10" s="491"/>
      <c r="N10" s="491"/>
      <c r="O10" s="491"/>
      <c r="P10" s="491"/>
      <c r="Q10" s="491"/>
      <c r="R10" s="491"/>
      <c r="S10" s="491"/>
      <c r="T10" s="491"/>
      <c r="U10" s="491"/>
      <c r="V10" s="491"/>
      <c r="W10" s="491"/>
      <c r="X10" s="491"/>
      <c r="Y10" s="491"/>
      <c r="Z10" s="491"/>
      <c r="AA10" s="491"/>
      <c r="AB10" s="491"/>
      <c r="AC10" s="492"/>
      <c r="AD10" s="338"/>
      <c r="AE10" s="337"/>
      <c r="AF10" s="333"/>
    </row>
    <row r="11" spans="1:32" ht="18.75" customHeight="1" x14ac:dyDescent="0.2">
      <c r="A11" s="333"/>
      <c r="B11" s="339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7"/>
      <c r="AF11" s="333"/>
    </row>
    <row r="12" spans="1:32" ht="18.75" customHeight="1" x14ac:dyDescent="0.2">
      <c r="A12" s="333"/>
      <c r="B12" s="339"/>
      <c r="C12" s="341"/>
      <c r="D12" s="342" t="s">
        <v>297</v>
      </c>
      <c r="E12" s="338"/>
      <c r="F12" s="338"/>
      <c r="G12" s="338"/>
      <c r="H12" s="338"/>
      <c r="I12" s="338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7"/>
      <c r="AF12" s="333"/>
    </row>
    <row r="13" spans="1:32" ht="18.75" customHeight="1" x14ac:dyDescent="0.2">
      <c r="A13" s="333"/>
      <c r="B13" s="339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7"/>
      <c r="AF13" s="333"/>
    </row>
    <row r="14" spans="1:32" ht="18.75" customHeight="1" x14ac:dyDescent="0.2">
      <c r="A14" s="333"/>
      <c r="B14" s="339"/>
      <c r="C14" s="338"/>
      <c r="D14" s="342" t="s">
        <v>298</v>
      </c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40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7"/>
      <c r="AF14" s="333"/>
    </row>
    <row r="15" spans="1:32" ht="18.75" customHeight="1" x14ac:dyDescent="0.2">
      <c r="A15" s="333"/>
      <c r="B15" s="339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40"/>
      <c r="T15" s="338"/>
      <c r="U15" s="340"/>
      <c r="V15" s="342"/>
      <c r="W15" s="338"/>
      <c r="X15" s="338"/>
      <c r="Y15" s="338"/>
      <c r="Z15" s="338"/>
      <c r="AA15" s="338"/>
      <c r="AB15" s="338"/>
      <c r="AC15" s="338"/>
      <c r="AD15" s="338"/>
      <c r="AE15" s="337"/>
      <c r="AF15" s="333"/>
    </row>
    <row r="16" spans="1:32" ht="18.75" customHeight="1" x14ac:dyDescent="0.2">
      <c r="A16" s="333"/>
      <c r="B16" s="339"/>
      <c r="C16" s="342"/>
      <c r="D16" s="431" t="s">
        <v>335</v>
      </c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40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337"/>
      <c r="AF16" s="333"/>
    </row>
    <row r="17" spans="1:32" ht="18.75" customHeight="1" x14ac:dyDescent="0.2">
      <c r="A17" s="333"/>
      <c r="B17" s="339"/>
      <c r="C17" s="338"/>
      <c r="D17" s="431" t="s">
        <v>333</v>
      </c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40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7"/>
      <c r="AF17" s="333"/>
    </row>
    <row r="18" spans="1:32" ht="18.75" customHeight="1" x14ac:dyDescent="0.2">
      <c r="A18" s="333"/>
      <c r="B18" s="339"/>
      <c r="C18" s="338"/>
      <c r="D18" s="338"/>
      <c r="E18" s="338"/>
      <c r="F18" s="338"/>
      <c r="G18" s="338"/>
      <c r="H18" s="338"/>
      <c r="I18" s="338"/>
      <c r="J18" s="338"/>
      <c r="K18" s="338"/>
      <c r="L18" s="338"/>
      <c r="M18" s="338"/>
      <c r="N18" s="338"/>
      <c r="O18" s="338"/>
      <c r="P18" s="338"/>
      <c r="Q18" s="338"/>
      <c r="R18" s="338"/>
      <c r="S18" s="340"/>
      <c r="T18" s="338"/>
      <c r="U18" s="338"/>
      <c r="V18" s="338"/>
      <c r="W18" s="338"/>
      <c r="X18" s="338"/>
      <c r="Y18" s="338"/>
      <c r="Z18" s="338"/>
      <c r="AA18" s="338"/>
      <c r="AB18" s="338"/>
      <c r="AC18" s="338"/>
      <c r="AD18" s="338"/>
      <c r="AE18" s="337"/>
      <c r="AF18" s="333"/>
    </row>
    <row r="19" spans="1:32" ht="18.75" customHeight="1" x14ac:dyDescent="0.2">
      <c r="A19" s="333"/>
      <c r="B19" s="339"/>
      <c r="C19" s="338"/>
      <c r="D19" s="342" t="s">
        <v>299</v>
      </c>
      <c r="E19" s="338"/>
      <c r="F19" s="338"/>
      <c r="G19" s="338"/>
      <c r="H19" s="338"/>
      <c r="I19" s="338"/>
      <c r="J19" s="338"/>
      <c r="K19" s="338"/>
      <c r="L19" s="338"/>
      <c r="M19" s="338"/>
      <c r="N19" s="338"/>
      <c r="O19" s="338"/>
      <c r="P19" s="338"/>
      <c r="Q19" s="338"/>
      <c r="R19" s="338"/>
      <c r="S19" s="340"/>
      <c r="T19" s="338"/>
      <c r="U19" s="338"/>
      <c r="V19" s="338"/>
      <c r="W19" s="338"/>
      <c r="X19" s="338"/>
      <c r="Y19" s="338"/>
      <c r="Z19" s="338"/>
      <c r="AA19" s="338"/>
      <c r="AB19" s="338"/>
      <c r="AC19" s="338"/>
      <c r="AD19" s="338"/>
      <c r="AE19" s="337"/>
      <c r="AF19" s="333"/>
    </row>
    <row r="20" spans="1:32" ht="18.75" customHeight="1" x14ac:dyDescent="0.2">
      <c r="A20" s="333"/>
      <c r="B20" s="339"/>
      <c r="C20" s="341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40"/>
      <c r="T20" s="338"/>
      <c r="U20" s="340"/>
      <c r="V20" s="338"/>
      <c r="W20" s="338"/>
      <c r="X20" s="338"/>
      <c r="Y20" s="338"/>
      <c r="Z20" s="338"/>
      <c r="AA20" s="338"/>
      <c r="AB20" s="338"/>
      <c r="AC20" s="338"/>
      <c r="AD20" s="338"/>
      <c r="AE20" s="337"/>
      <c r="AF20" s="333"/>
    </row>
    <row r="21" spans="1:32" ht="18.75" customHeight="1" x14ac:dyDescent="0.2">
      <c r="A21" s="333"/>
      <c r="B21" s="339"/>
      <c r="C21" s="338"/>
      <c r="D21" s="338"/>
      <c r="E21" s="422" t="s">
        <v>300</v>
      </c>
      <c r="F21" s="338"/>
      <c r="G21" s="338"/>
      <c r="H21" s="338"/>
      <c r="I21" s="338"/>
      <c r="J21" s="338"/>
      <c r="K21" s="422" t="s">
        <v>301</v>
      </c>
      <c r="L21" s="338"/>
      <c r="M21" s="338"/>
      <c r="N21" s="422" t="s">
        <v>306</v>
      </c>
      <c r="O21" s="338"/>
      <c r="P21" s="338"/>
      <c r="Q21" s="525" t="s">
        <v>302</v>
      </c>
      <c r="R21" s="526"/>
      <c r="S21" s="526"/>
      <c r="T21" s="527"/>
      <c r="U21" s="525" t="s">
        <v>303</v>
      </c>
      <c r="V21" s="526"/>
      <c r="W21" s="526"/>
      <c r="X21" s="527"/>
      <c r="Y21" s="504" t="s">
        <v>304</v>
      </c>
      <c r="Z21" s="505"/>
      <c r="AA21" s="506"/>
      <c r="AB21" s="504" t="s">
        <v>305</v>
      </c>
      <c r="AC21" s="505"/>
      <c r="AD21" s="506"/>
      <c r="AE21" s="337"/>
      <c r="AF21" s="333"/>
    </row>
    <row r="22" spans="1:32" ht="18.75" customHeight="1" x14ac:dyDescent="0.2">
      <c r="A22" s="333"/>
      <c r="B22" s="339"/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510"/>
      <c r="Z22" s="511"/>
      <c r="AA22" s="512"/>
      <c r="AB22" s="510"/>
      <c r="AC22" s="511"/>
      <c r="AD22" s="512"/>
      <c r="AE22" s="337"/>
      <c r="AF22" s="333"/>
    </row>
    <row r="23" spans="1:32" ht="18.75" customHeight="1" x14ac:dyDescent="0.25">
      <c r="A23" s="333"/>
      <c r="B23" s="339"/>
      <c r="C23" s="338"/>
      <c r="D23" s="338"/>
      <c r="E23" s="421" t="s">
        <v>296</v>
      </c>
      <c r="F23" s="338"/>
      <c r="G23" s="338"/>
      <c r="H23" s="338"/>
      <c r="I23" s="338"/>
      <c r="J23" s="338"/>
      <c r="K23" s="328">
        <v>24</v>
      </c>
      <c r="L23" s="338"/>
      <c r="M23" s="338"/>
      <c r="N23" s="528">
        <v>5500</v>
      </c>
      <c r="O23" s="529"/>
      <c r="P23" s="530"/>
      <c r="Q23" s="522">
        <v>350</v>
      </c>
      <c r="R23" s="523"/>
      <c r="S23" s="523"/>
      <c r="T23" s="524"/>
      <c r="U23" s="522">
        <f>N23*Q23</f>
        <v>1925000</v>
      </c>
      <c r="V23" s="523"/>
      <c r="W23" s="523"/>
      <c r="X23" s="524"/>
      <c r="Y23" s="522">
        <f>U23*2</f>
        <v>3850000</v>
      </c>
      <c r="Z23" s="523"/>
      <c r="AA23" s="524"/>
      <c r="AB23" s="522">
        <f>SUM(U23:AA23)</f>
        <v>5775000</v>
      </c>
      <c r="AC23" s="523"/>
      <c r="AD23" s="524"/>
      <c r="AE23" s="337"/>
      <c r="AF23" s="333"/>
    </row>
    <row r="24" spans="1:32" ht="18.75" customHeight="1" x14ac:dyDescent="0.2">
      <c r="A24" s="333"/>
      <c r="B24" s="339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38"/>
      <c r="Q24" s="338"/>
      <c r="R24" s="338"/>
      <c r="S24" s="340"/>
      <c r="T24" s="338"/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37"/>
      <c r="AF24" s="333"/>
    </row>
    <row r="25" spans="1:32" ht="18.75" customHeight="1" x14ac:dyDescent="0.2">
      <c r="A25" s="333"/>
      <c r="B25" s="339"/>
      <c r="C25" s="338"/>
      <c r="D25" s="338"/>
      <c r="E25" s="431" t="s">
        <v>336</v>
      </c>
      <c r="F25" s="338"/>
      <c r="G25" s="338"/>
      <c r="H25" s="338"/>
      <c r="I25" s="338"/>
      <c r="J25" s="338"/>
      <c r="K25" s="338"/>
      <c r="L25" s="338"/>
      <c r="M25" s="338"/>
      <c r="N25" s="338"/>
      <c r="O25" s="338"/>
      <c r="P25" s="338"/>
      <c r="Q25" s="338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38"/>
      <c r="AE25" s="337"/>
      <c r="AF25" s="333"/>
    </row>
    <row r="26" spans="1:32" ht="18.75" customHeight="1" x14ac:dyDescent="0.2">
      <c r="A26" s="333"/>
      <c r="B26" s="339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7"/>
      <c r="AF26" s="333"/>
    </row>
    <row r="27" spans="1:32" ht="18.75" customHeight="1" x14ac:dyDescent="0.2">
      <c r="A27" s="333"/>
      <c r="B27" s="339"/>
      <c r="C27" s="338"/>
      <c r="D27" s="513" t="s">
        <v>331</v>
      </c>
      <c r="E27" s="514"/>
      <c r="F27" s="514"/>
      <c r="G27" s="514"/>
      <c r="H27" s="514"/>
      <c r="I27" s="514"/>
      <c r="J27" s="514"/>
      <c r="K27" s="514"/>
      <c r="L27" s="514"/>
      <c r="M27" s="514"/>
      <c r="N27" s="514"/>
      <c r="O27" s="514"/>
      <c r="P27" s="514"/>
      <c r="Q27" s="514"/>
      <c r="R27" s="514"/>
      <c r="S27" s="514"/>
      <c r="T27" s="514"/>
      <c r="U27" s="514"/>
      <c r="V27" s="514"/>
      <c r="W27" s="514"/>
      <c r="X27" s="514"/>
      <c r="Y27" s="514"/>
      <c r="Z27" s="514"/>
      <c r="AA27" s="514"/>
      <c r="AB27" s="514"/>
      <c r="AC27" s="515"/>
      <c r="AD27" s="338"/>
      <c r="AE27" s="337"/>
      <c r="AF27" s="333"/>
    </row>
    <row r="28" spans="1:32" ht="18.75" customHeight="1" x14ac:dyDescent="0.2">
      <c r="A28" s="333"/>
      <c r="B28" s="339"/>
      <c r="C28" s="338"/>
      <c r="D28" s="516"/>
      <c r="E28" s="517"/>
      <c r="F28" s="517"/>
      <c r="G28" s="517"/>
      <c r="H28" s="517"/>
      <c r="I28" s="517"/>
      <c r="J28" s="517"/>
      <c r="K28" s="517"/>
      <c r="L28" s="517"/>
      <c r="M28" s="517"/>
      <c r="N28" s="517"/>
      <c r="O28" s="517"/>
      <c r="P28" s="517"/>
      <c r="Q28" s="517"/>
      <c r="R28" s="517"/>
      <c r="S28" s="517"/>
      <c r="T28" s="517"/>
      <c r="U28" s="517"/>
      <c r="V28" s="517"/>
      <c r="W28" s="517"/>
      <c r="X28" s="517"/>
      <c r="Y28" s="517"/>
      <c r="Z28" s="517"/>
      <c r="AA28" s="517"/>
      <c r="AB28" s="517"/>
      <c r="AC28" s="518"/>
      <c r="AD28" s="338"/>
      <c r="AE28" s="337"/>
      <c r="AF28" s="333"/>
    </row>
    <row r="29" spans="1:32" ht="18.75" customHeight="1" x14ac:dyDescent="0.2">
      <c r="A29" s="333"/>
      <c r="B29" s="339"/>
      <c r="C29" s="338"/>
      <c r="D29" s="519"/>
      <c r="E29" s="520"/>
      <c r="F29" s="520"/>
      <c r="G29" s="520"/>
      <c r="H29" s="520"/>
      <c r="I29" s="520"/>
      <c r="J29" s="520"/>
      <c r="K29" s="520"/>
      <c r="L29" s="520"/>
      <c r="M29" s="520"/>
      <c r="N29" s="520"/>
      <c r="O29" s="520"/>
      <c r="P29" s="520"/>
      <c r="Q29" s="520"/>
      <c r="R29" s="520"/>
      <c r="S29" s="520"/>
      <c r="T29" s="520"/>
      <c r="U29" s="520"/>
      <c r="V29" s="520"/>
      <c r="W29" s="520"/>
      <c r="X29" s="520"/>
      <c r="Y29" s="520"/>
      <c r="Z29" s="520"/>
      <c r="AA29" s="520"/>
      <c r="AB29" s="520"/>
      <c r="AC29" s="521"/>
      <c r="AD29" s="338"/>
      <c r="AE29" s="337"/>
      <c r="AF29" s="333"/>
    </row>
    <row r="30" spans="1:32" ht="18.75" customHeight="1" x14ac:dyDescent="0.2">
      <c r="A30" s="333"/>
      <c r="B30" s="339"/>
      <c r="C30" s="33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504" t="s">
        <v>330</v>
      </c>
      <c r="P30" s="505"/>
      <c r="Q30" s="506"/>
      <c r="R30" s="358"/>
      <c r="S30" s="358"/>
      <c r="T30" s="358"/>
      <c r="U30" s="358"/>
      <c r="V30" s="358"/>
      <c r="W30" s="358"/>
      <c r="X30" s="358"/>
      <c r="Y30" s="338"/>
      <c r="Z30" s="338"/>
      <c r="AA30" s="338"/>
      <c r="AB30" s="338"/>
      <c r="AC30" s="338"/>
      <c r="AD30" s="338"/>
      <c r="AE30" s="337"/>
      <c r="AF30" s="333"/>
    </row>
    <row r="31" spans="1:32" ht="18.75" customHeight="1" x14ac:dyDescent="0.2">
      <c r="A31" s="333"/>
      <c r="B31" s="339"/>
      <c r="C31" s="338"/>
      <c r="D31" s="358"/>
      <c r="E31" s="422" t="s">
        <v>300</v>
      </c>
      <c r="F31" s="338"/>
      <c r="G31" s="358"/>
      <c r="H31" s="358"/>
      <c r="I31" s="358"/>
      <c r="J31" s="358"/>
      <c r="K31" s="358"/>
      <c r="L31" s="358"/>
      <c r="M31" s="358"/>
      <c r="N31" s="358"/>
      <c r="O31" s="507"/>
      <c r="P31" s="508"/>
      <c r="Q31" s="509"/>
      <c r="R31" s="358"/>
      <c r="S31" s="358"/>
      <c r="T31" s="504" t="s">
        <v>332</v>
      </c>
      <c r="U31" s="505"/>
      <c r="V31" s="506"/>
      <c r="W31" s="358"/>
      <c r="X31" s="358"/>
      <c r="Y31" s="338"/>
      <c r="Z31" s="338"/>
      <c r="AA31" s="338"/>
      <c r="AB31" s="338"/>
      <c r="AC31" s="338"/>
      <c r="AD31" s="338"/>
      <c r="AE31" s="337"/>
      <c r="AF31" s="333"/>
    </row>
    <row r="32" spans="1:32" ht="18.75" customHeight="1" x14ac:dyDescent="0.2">
      <c r="A32" s="333"/>
      <c r="B32" s="339"/>
      <c r="C32" s="338"/>
      <c r="D32" s="358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510"/>
      <c r="P32" s="511"/>
      <c r="Q32" s="512"/>
      <c r="R32" s="358"/>
      <c r="S32" s="358"/>
      <c r="T32" s="510"/>
      <c r="U32" s="511"/>
      <c r="V32" s="512"/>
      <c r="W32" s="358"/>
      <c r="X32" s="358"/>
      <c r="Y32" s="338"/>
      <c r="Z32" s="338"/>
      <c r="AA32" s="338"/>
      <c r="AB32" s="338"/>
      <c r="AC32" s="338"/>
      <c r="AD32" s="338"/>
      <c r="AE32" s="337"/>
      <c r="AF32" s="333"/>
    </row>
    <row r="33" spans="1:32" ht="18.75" customHeight="1" x14ac:dyDescent="0.25">
      <c r="A33" s="333"/>
      <c r="B33" s="339"/>
      <c r="C33" s="338"/>
      <c r="D33" s="358"/>
      <c r="E33" s="358" t="s">
        <v>325</v>
      </c>
      <c r="F33" s="358"/>
      <c r="G33" s="358"/>
      <c r="H33" s="358"/>
      <c r="I33" s="358"/>
      <c r="J33" s="358"/>
      <c r="K33" s="358"/>
      <c r="L33" s="358"/>
      <c r="M33" s="358"/>
      <c r="N33" s="358"/>
      <c r="O33" s="501">
        <v>3100000</v>
      </c>
      <c r="P33" s="502"/>
      <c r="Q33" s="503"/>
      <c r="R33" s="358"/>
      <c r="S33" s="358"/>
      <c r="T33" s="486">
        <v>2038</v>
      </c>
      <c r="U33" s="472"/>
      <c r="V33" s="473"/>
      <c r="W33" s="358"/>
      <c r="X33" s="358"/>
      <c r="Y33" s="338"/>
      <c r="Z33" s="338"/>
      <c r="AA33" s="338"/>
      <c r="AB33" s="338"/>
      <c r="AC33" s="338"/>
      <c r="AD33" s="338"/>
      <c r="AE33" s="337"/>
      <c r="AF33" s="333"/>
    </row>
    <row r="34" spans="1:32" ht="18.75" customHeight="1" x14ac:dyDescent="0.2">
      <c r="A34" s="333"/>
      <c r="B34" s="339"/>
      <c r="C34" s="341"/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429"/>
      <c r="P34" s="429"/>
      <c r="Q34" s="429"/>
      <c r="R34" s="358"/>
      <c r="S34" s="358"/>
      <c r="T34" s="358"/>
      <c r="U34" s="358"/>
      <c r="V34" s="358"/>
      <c r="W34" s="358"/>
      <c r="X34" s="358"/>
      <c r="Y34" s="338"/>
      <c r="Z34" s="338"/>
      <c r="AA34" s="338"/>
      <c r="AB34" s="338"/>
      <c r="AC34" s="338"/>
      <c r="AD34" s="338"/>
      <c r="AE34" s="337"/>
      <c r="AF34" s="333"/>
    </row>
    <row r="35" spans="1:32" ht="18.75" customHeight="1" x14ac:dyDescent="0.25">
      <c r="A35" s="333"/>
      <c r="B35" s="339"/>
      <c r="C35" s="338"/>
      <c r="D35" s="358"/>
      <c r="E35" s="358" t="s">
        <v>326</v>
      </c>
      <c r="F35" s="358"/>
      <c r="G35" s="358"/>
      <c r="H35" s="358"/>
      <c r="I35" s="358"/>
      <c r="J35" s="358"/>
      <c r="K35" s="358"/>
      <c r="L35" s="358"/>
      <c r="M35" s="358"/>
      <c r="N35" s="358"/>
      <c r="O35" s="501">
        <v>4600000</v>
      </c>
      <c r="P35" s="502"/>
      <c r="Q35" s="503"/>
      <c r="R35" s="358"/>
      <c r="S35" s="358"/>
      <c r="T35" s="486">
        <v>2033</v>
      </c>
      <c r="U35" s="472"/>
      <c r="V35" s="473"/>
      <c r="W35" s="358"/>
      <c r="X35" s="358"/>
      <c r="Y35" s="338"/>
      <c r="Z35" s="338"/>
      <c r="AA35" s="338"/>
      <c r="AB35" s="338"/>
      <c r="AC35" s="338"/>
      <c r="AD35" s="338"/>
      <c r="AE35" s="337"/>
      <c r="AF35" s="333"/>
    </row>
    <row r="36" spans="1:32" ht="18.75" customHeight="1" x14ac:dyDescent="0.25">
      <c r="A36" s="333"/>
      <c r="B36" s="339"/>
      <c r="C36" s="338"/>
      <c r="D36" s="358"/>
      <c r="E36" s="358" t="s">
        <v>327</v>
      </c>
      <c r="F36" s="358"/>
      <c r="G36" s="358"/>
      <c r="H36" s="358"/>
      <c r="I36" s="358"/>
      <c r="J36" s="358"/>
      <c r="K36" s="358"/>
      <c r="L36" s="358"/>
      <c r="M36" s="358"/>
      <c r="N36" s="358"/>
      <c r="O36" s="501">
        <v>5300000</v>
      </c>
      <c r="P36" s="502"/>
      <c r="Q36" s="503"/>
      <c r="R36" s="358"/>
      <c r="S36" s="358"/>
      <c r="T36" s="486">
        <v>2033</v>
      </c>
      <c r="U36" s="472"/>
      <c r="V36" s="473"/>
      <c r="W36" s="358"/>
      <c r="X36" s="358"/>
      <c r="Y36" s="338"/>
      <c r="Z36" s="338"/>
      <c r="AA36" s="338"/>
      <c r="AB36" s="338"/>
      <c r="AC36" s="338"/>
      <c r="AD36" s="338"/>
      <c r="AE36" s="337"/>
      <c r="AF36" s="333"/>
    </row>
    <row r="37" spans="1:32" ht="18.75" customHeight="1" x14ac:dyDescent="0.2">
      <c r="A37" s="333"/>
      <c r="B37" s="339"/>
      <c r="C37" s="338"/>
      <c r="D37" s="358"/>
      <c r="E37" s="358"/>
      <c r="F37" s="358"/>
      <c r="G37" s="358"/>
      <c r="H37" s="358"/>
      <c r="I37" s="358"/>
      <c r="J37" s="358"/>
      <c r="K37" s="358"/>
      <c r="L37" s="358"/>
      <c r="M37" s="358"/>
      <c r="N37" s="358"/>
      <c r="O37" s="429"/>
      <c r="P37" s="429"/>
      <c r="Q37" s="429"/>
      <c r="R37" s="358"/>
      <c r="S37" s="358"/>
      <c r="T37" s="358"/>
      <c r="U37" s="358"/>
      <c r="V37" s="358"/>
      <c r="W37" s="358"/>
      <c r="X37" s="358"/>
      <c r="Y37" s="338"/>
      <c r="Z37" s="338"/>
      <c r="AA37" s="338"/>
      <c r="AB37" s="338"/>
      <c r="AC37" s="338"/>
      <c r="AD37" s="338"/>
      <c r="AE37" s="337"/>
      <c r="AF37" s="333"/>
    </row>
    <row r="38" spans="1:32" ht="18.75" customHeight="1" x14ac:dyDescent="0.25">
      <c r="A38" s="333"/>
      <c r="B38" s="339"/>
      <c r="C38" s="338"/>
      <c r="D38" s="358"/>
      <c r="E38" s="358" t="s">
        <v>328</v>
      </c>
      <c r="F38" s="358"/>
      <c r="G38" s="358"/>
      <c r="H38" s="358"/>
      <c r="I38" s="358"/>
      <c r="J38" s="358"/>
      <c r="K38" s="358"/>
      <c r="L38" s="358"/>
      <c r="M38" s="358"/>
      <c r="N38" s="358"/>
      <c r="O38" s="501">
        <v>4200000</v>
      </c>
      <c r="P38" s="502"/>
      <c r="Q38" s="503"/>
      <c r="R38" s="358"/>
      <c r="S38" s="358"/>
      <c r="T38" s="486">
        <v>2033</v>
      </c>
      <c r="U38" s="472"/>
      <c r="V38" s="473"/>
      <c r="W38" s="358"/>
      <c r="X38" s="358"/>
      <c r="Y38" s="338"/>
      <c r="Z38" s="338"/>
      <c r="AA38" s="338"/>
      <c r="AB38" s="338"/>
      <c r="AC38" s="338"/>
      <c r="AD38" s="338"/>
      <c r="AE38" s="337"/>
      <c r="AF38" s="333"/>
    </row>
    <row r="39" spans="1:32" ht="18.75" customHeight="1" x14ac:dyDescent="0.25">
      <c r="A39" s="333"/>
      <c r="B39" s="339"/>
      <c r="C39" s="338"/>
      <c r="D39" s="358"/>
      <c r="E39" s="358" t="s">
        <v>329</v>
      </c>
      <c r="F39" s="358"/>
      <c r="G39" s="358"/>
      <c r="H39" s="358"/>
      <c r="I39" s="358"/>
      <c r="J39" s="358"/>
      <c r="K39" s="358"/>
      <c r="L39" s="358"/>
      <c r="M39" s="358"/>
      <c r="N39" s="358"/>
      <c r="O39" s="501">
        <v>4200000</v>
      </c>
      <c r="P39" s="502"/>
      <c r="Q39" s="503"/>
      <c r="R39" s="358"/>
      <c r="S39" s="358"/>
      <c r="T39" s="486">
        <v>2028</v>
      </c>
      <c r="U39" s="472"/>
      <c r="V39" s="473"/>
      <c r="W39" s="358"/>
      <c r="X39" s="358"/>
      <c r="Y39" s="338"/>
      <c r="Z39" s="338"/>
      <c r="AA39" s="338"/>
      <c r="AB39" s="338"/>
      <c r="AC39" s="338"/>
      <c r="AD39" s="338"/>
      <c r="AE39" s="337"/>
      <c r="AF39" s="333"/>
    </row>
    <row r="40" spans="1:32" ht="18.75" customHeight="1" x14ac:dyDescent="0.2">
      <c r="A40" s="333"/>
      <c r="B40" s="339"/>
      <c r="C40" s="338"/>
      <c r="D40" s="358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8"/>
      <c r="V40" s="358"/>
      <c r="W40" s="358"/>
      <c r="X40" s="358"/>
      <c r="Y40" s="338"/>
      <c r="Z40" s="338"/>
      <c r="AA40" s="338"/>
      <c r="AB40" s="338"/>
      <c r="AC40" s="338"/>
      <c r="AD40" s="338"/>
      <c r="AE40" s="337"/>
      <c r="AF40" s="333"/>
    </row>
    <row r="41" spans="1:32" ht="18.75" customHeight="1" x14ac:dyDescent="0.2">
      <c r="A41" s="333"/>
      <c r="B41" s="339"/>
      <c r="C41" s="33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38"/>
      <c r="Z41" s="338"/>
      <c r="AA41" s="338"/>
      <c r="AB41" s="338"/>
      <c r="AC41" s="338"/>
      <c r="AD41" s="338"/>
      <c r="AE41" s="337"/>
      <c r="AF41" s="333"/>
    </row>
    <row r="42" spans="1:32" ht="18.75" customHeight="1" x14ac:dyDescent="0.2">
      <c r="A42" s="333"/>
      <c r="B42" s="339"/>
      <c r="C42" s="338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338"/>
      <c r="Z42" s="338"/>
      <c r="AA42" s="338"/>
      <c r="AB42" s="338"/>
      <c r="AC42" s="338"/>
      <c r="AD42" s="338"/>
      <c r="AE42" s="337"/>
      <c r="AF42" s="333"/>
    </row>
    <row r="43" spans="1:32" ht="18.75" customHeight="1" x14ac:dyDescent="0.2">
      <c r="A43" s="333"/>
      <c r="B43" s="339"/>
      <c r="C43" s="338"/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338"/>
      <c r="Z43" s="338"/>
      <c r="AA43" s="338"/>
      <c r="AB43" s="338"/>
      <c r="AC43" s="338"/>
      <c r="AD43" s="338"/>
      <c r="AE43" s="337"/>
      <c r="AF43" s="333"/>
    </row>
    <row r="44" spans="1:32" ht="18.75" customHeight="1" thickBot="1" x14ac:dyDescent="0.25">
      <c r="A44" s="333"/>
      <c r="B44" s="336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5"/>
      <c r="AE44" s="334"/>
      <c r="AF44" s="333"/>
    </row>
    <row r="45" spans="1:32" ht="5.25" customHeight="1" x14ac:dyDescent="0.2">
      <c r="A45" s="333"/>
      <c r="B45" s="333"/>
      <c r="C45" s="333"/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333"/>
      <c r="X45" s="333"/>
      <c r="Y45" s="333"/>
      <c r="Z45" s="333"/>
      <c r="AA45" s="333"/>
      <c r="AB45" s="333"/>
      <c r="AC45" s="333"/>
      <c r="AD45" s="333"/>
      <c r="AE45" s="333"/>
    </row>
  </sheetData>
  <mergeCells count="36">
    <mergeCell ref="N23:P23"/>
    <mergeCell ref="Y21:AA22"/>
    <mergeCell ref="A2:O2"/>
    <mergeCell ref="T2:AE2"/>
    <mergeCell ref="A3:O3"/>
    <mergeCell ref="V3:Y3"/>
    <mergeCell ref="Z3:AA3"/>
    <mergeCell ref="AB3:AE3"/>
    <mergeCell ref="D27:AC29"/>
    <mergeCell ref="D9:AC10"/>
    <mergeCell ref="A4:O4"/>
    <mergeCell ref="V4:Y4"/>
    <mergeCell ref="AB4:AE4"/>
    <mergeCell ref="V5:Y5"/>
    <mergeCell ref="AB5:AE5"/>
    <mergeCell ref="V6:Y6"/>
    <mergeCell ref="AB6:AE6"/>
    <mergeCell ref="AB21:AD22"/>
    <mergeCell ref="Y23:AA23"/>
    <mergeCell ref="AB23:AD23"/>
    <mergeCell ref="Q21:T21"/>
    <mergeCell ref="Q23:T23"/>
    <mergeCell ref="U21:X21"/>
    <mergeCell ref="U23:X23"/>
    <mergeCell ref="O38:Q38"/>
    <mergeCell ref="O39:Q39"/>
    <mergeCell ref="O30:Q32"/>
    <mergeCell ref="T31:V32"/>
    <mergeCell ref="T33:V33"/>
    <mergeCell ref="T35:V35"/>
    <mergeCell ref="T36:V36"/>
    <mergeCell ref="T38:V38"/>
    <mergeCell ref="T39:V39"/>
    <mergeCell ref="O33:Q33"/>
    <mergeCell ref="O35:Q35"/>
    <mergeCell ref="O36:Q36"/>
  </mergeCells>
  <hyperlinks>
    <hyperlink ref="A4" r:id="rId1" xr:uid="{F0D4F792-3B4B-4EC1-A455-7022F895EBB8}"/>
  </hyperlinks>
  <pageMargins left="0.25" right="0.2" top="0.25" bottom="0.25" header="0" footer="0"/>
  <pageSetup scale="98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2DA57-7BF3-41BF-9FEA-91C7C9C92294}">
  <sheetPr>
    <pageSetUpPr fitToPage="1"/>
  </sheetPr>
  <dimension ref="A1:AF45"/>
  <sheetViews>
    <sheetView showGridLines="0" view="pageBreakPreview" topLeftCell="A4" zoomScale="85" zoomScaleNormal="100" zoomScaleSheetLayoutView="85" workbookViewId="0">
      <selection activeCell="G16" sqref="G16"/>
    </sheetView>
  </sheetViews>
  <sheetFormatPr defaultColWidth="3.7109375" defaultRowHeight="18.75" customHeight="1" x14ac:dyDescent="0.2"/>
  <cols>
    <col min="1" max="1" width="4.85546875" style="332" customWidth="1"/>
    <col min="2" max="31" width="3.28515625" style="332" customWidth="1"/>
    <col min="32" max="32" width="1.28515625" style="332" customWidth="1"/>
    <col min="33" max="16384" width="3.7109375" style="332"/>
  </cols>
  <sheetData>
    <row r="1" spans="1:32" ht="5.45" customHeight="1" x14ac:dyDescent="0.2">
      <c r="A1" s="355"/>
      <c r="B1" s="353"/>
      <c r="C1" s="353"/>
      <c r="D1" s="353"/>
      <c r="E1" s="353"/>
      <c r="F1" s="355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  <c r="Z1" s="353"/>
      <c r="AA1" s="353"/>
      <c r="AB1" s="353"/>
      <c r="AC1" s="353"/>
      <c r="AD1" s="353"/>
      <c r="AE1" s="353"/>
      <c r="AF1" s="333"/>
    </row>
    <row r="2" spans="1:32" ht="14.25" customHeight="1" x14ac:dyDescent="0.25">
      <c r="A2" s="494" t="s">
        <v>247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349"/>
      <c r="Q2" s="349"/>
      <c r="R2" s="349" t="s">
        <v>246</v>
      </c>
      <c r="S2" s="348"/>
      <c r="T2" s="499" t="s">
        <v>214</v>
      </c>
      <c r="U2" s="499"/>
      <c r="V2" s="499"/>
      <c r="W2" s="499"/>
      <c r="X2" s="499"/>
      <c r="Y2" s="499"/>
      <c r="Z2" s="499"/>
      <c r="AA2" s="499"/>
      <c r="AB2" s="499"/>
      <c r="AC2" s="499"/>
      <c r="AD2" s="499"/>
      <c r="AE2" s="499"/>
      <c r="AF2" s="333"/>
    </row>
    <row r="3" spans="1:32" ht="14.25" customHeight="1" x14ac:dyDescent="0.2">
      <c r="A3" s="493" t="s">
        <v>245</v>
      </c>
      <c r="B3" s="493"/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349"/>
      <c r="Q3" s="349"/>
      <c r="R3" s="349" t="s">
        <v>244</v>
      </c>
      <c r="S3" s="333"/>
      <c r="T3" s="351"/>
      <c r="U3" s="354"/>
      <c r="V3" s="495">
        <v>1</v>
      </c>
      <c r="W3" s="495"/>
      <c r="X3" s="495"/>
      <c r="Y3" s="495"/>
      <c r="Z3" s="500" t="s">
        <v>243</v>
      </c>
      <c r="AA3" s="500"/>
      <c r="AB3" s="495"/>
      <c r="AC3" s="495"/>
      <c r="AD3" s="495"/>
      <c r="AE3" s="495"/>
      <c r="AF3" s="333"/>
    </row>
    <row r="4" spans="1:32" ht="14.25" customHeight="1" x14ac:dyDescent="0.2">
      <c r="A4" s="493" t="s">
        <v>242</v>
      </c>
      <c r="B4" s="493"/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349"/>
      <c r="Q4" s="349"/>
      <c r="R4" s="349" t="s">
        <v>241</v>
      </c>
      <c r="S4" s="333"/>
      <c r="T4" s="349"/>
      <c r="U4" s="347"/>
      <c r="V4" s="495" t="s">
        <v>257</v>
      </c>
      <c r="W4" s="495"/>
      <c r="X4" s="495"/>
      <c r="Y4" s="495"/>
      <c r="Z4" s="347" t="s">
        <v>239</v>
      </c>
      <c r="AA4" s="347"/>
      <c r="AB4" s="498">
        <v>43873</v>
      </c>
      <c r="AC4" s="498"/>
      <c r="AD4" s="498"/>
      <c r="AE4" s="498"/>
      <c r="AF4" s="333"/>
    </row>
    <row r="5" spans="1:32" ht="14.25" customHeight="1" x14ac:dyDescent="0.25">
      <c r="A5" s="333"/>
      <c r="B5" s="353"/>
      <c r="C5" s="352"/>
      <c r="D5" s="352"/>
      <c r="E5" s="352"/>
      <c r="F5" s="333"/>
      <c r="G5" s="350"/>
      <c r="H5" s="352"/>
      <c r="I5" s="352"/>
      <c r="J5" s="352"/>
      <c r="K5" s="352"/>
      <c r="L5" s="352"/>
      <c r="M5" s="352"/>
      <c r="N5" s="349"/>
      <c r="O5" s="349"/>
      <c r="P5" s="349"/>
      <c r="Q5" s="349"/>
      <c r="R5" s="349" t="s">
        <v>240</v>
      </c>
      <c r="S5" s="333"/>
      <c r="T5" s="349"/>
      <c r="U5" s="351"/>
      <c r="V5" s="495"/>
      <c r="W5" s="495"/>
      <c r="X5" s="495"/>
      <c r="Y5" s="495"/>
      <c r="Z5" s="347" t="s">
        <v>239</v>
      </c>
      <c r="AA5" s="347"/>
      <c r="AB5" s="496"/>
      <c r="AC5" s="497"/>
      <c r="AD5" s="497"/>
      <c r="AE5" s="497"/>
      <c r="AF5" s="333"/>
    </row>
    <row r="6" spans="1:32" ht="14.25" customHeight="1" x14ac:dyDescent="0.25">
      <c r="A6" s="333"/>
      <c r="C6" s="350"/>
      <c r="D6" s="350"/>
      <c r="E6" s="350"/>
      <c r="F6" s="333"/>
      <c r="G6" s="350"/>
      <c r="H6" s="350"/>
      <c r="I6" s="350"/>
      <c r="J6" s="350"/>
      <c r="K6" s="350"/>
      <c r="L6" s="350"/>
      <c r="M6" s="350"/>
      <c r="N6" s="349"/>
      <c r="O6" s="349"/>
      <c r="P6" s="349"/>
      <c r="Q6" s="349"/>
      <c r="R6" s="349" t="s">
        <v>238</v>
      </c>
      <c r="S6" s="348"/>
      <c r="T6" s="348"/>
      <c r="U6" s="348"/>
      <c r="V6" s="495">
        <v>17841</v>
      </c>
      <c r="W6" s="495"/>
      <c r="X6" s="495"/>
      <c r="Y6" s="495"/>
      <c r="Z6" s="347" t="s">
        <v>237</v>
      </c>
      <c r="AA6" s="347"/>
      <c r="AB6" s="495"/>
      <c r="AC6" s="495"/>
      <c r="AD6" s="495"/>
      <c r="AE6" s="495"/>
      <c r="AF6" s="333"/>
    </row>
    <row r="7" spans="1:32" ht="4.5" customHeight="1" thickBot="1" x14ac:dyDescent="0.25">
      <c r="A7" s="333"/>
      <c r="B7" s="346"/>
      <c r="C7" s="346"/>
      <c r="D7" s="346"/>
      <c r="E7" s="346"/>
      <c r="F7" s="346"/>
      <c r="G7" s="346"/>
      <c r="H7" s="346"/>
      <c r="I7" s="346"/>
      <c r="J7" s="346"/>
      <c r="K7" s="346"/>
      <c r="L7" s="346"/>
      <c r="M7" s="346"/>
      <c r="N7" s="34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346"/>
      <c r="AD7" s="346"/>
      <c r="AE7" s="346"/>
      <c r="AF7" s="333"/>
    </row>
    <row r="8" spans="1:32" ht="18.75" customHeight="1" x14ac:dyDescent="0.2">
      <c r="A8" s="333"/>
      <c r="B8" s="345"/>
      <c r="C8" s="344"/>
      <c r="D8" s="344"/>
      <c r="E8" s="344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3"/>
      <c r="AF8" s="333"/>
    </row>
    <row r="9" spans="1:32" ht="18.75" customHeight="1" x14ac:dyDescent="0.2">
      <c r="A9" s="333"/>
      <c r="B9" s="339"/>
      <c r="C9" s="338"/>
      <c r="D9" s="487" t="s">
        <v>291</v>
      </c>
      <c r="E9" s="488"/>
      <c r="F9" s="488"/>
      <c r="G9" s="488"/>
      <c r="H9" s="488"/>
      <c r="I9" s="488"/>
      <c r="J9" s="488"/>
      <c r="K9" s="488"/>
      <c r="L9" s="488"/>
      <c r="M9" s="488"/>
      <c r="N9" s="488"/>
      <c r="O9" s="488"/>
      <c r="P9" s="488"/>
      <c r="Q9" s="488"/>
      <c r="R9" s="488"/>
      <c r="S9" s="488"/>
      <c r="T9" s="488"/>
      <c r="U9" s="488"/>
      <c r="V9" s="488"/>
      <c r="W9" s="488"/>
      <c r="X9" s="488"/>
      <c r="Y9" s="488"/>
      <c r="Z9" s="488"/>
      <c r="AA9" s="488"/>
      <c r="AB9" s="488"/>
      <c r="AC9" s="489"/>
      <c r="AD9" s="338"/>
      <c r="AE9" s="337"/>
      <c r="AF9" s="333"/>
    </row>
    <row r="10" spans="1:32" ht="18.75" customHeight="1" x14ac:dyDescent="0.2">
      <c r="A10" s="333"/>
      <c r="B10" s="339"/>
      <c r="C10" s="338"/>
      <c r="D10" s="490"/>
      <c r="E10" s="491"/>
      <c r="F10" s="491"/>
      <c r="G10" s="491"/>
      <c r="H10" s="491"/>
      <c r="I10" s="491"/>
      <c r="J10" s="491"/>
      <c r="K10" s="491"/>
      <c r="L10" s="491"/>
      <c r="M10" s="491"/>
      <c r="N10" s="491"/>
      <c r="O10" s="491"/>
      <c r="P10" s="491"/>
      <c r="Q10" s="491"/>
      <c r="R10" s="491"/>
      <c r="S10" s="491"/>
      <c r="T10" s="491"/>
      <c r="U10" s="491"/>
      <c r="V10" s="491"/>
      <c r="W10" s="491"/>
      <c r="X10" s="491"/>
      <c r="Y10" s="491"/>
      <c r="Z10" s="491"/>
      <c r="AA10" s="491"/>
      <c r="AB10" s="491"/>
      <c r="AC10" s="492"/>
      <c r="AD10" s="338"/>
      <c r="AE10" s="337"/>
      <c r="AF10" s="333"/>
    </row>
    <row r="11" spans="1:32" ht="18.75" customHeight="1" x14ac:dyDescent="0.2">
      <c r="A11" s="333"/>
      <c r="B11" s="339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7"/>
      <c r="AF11" s="333"/>
    </row>
    <row r="12" spans="1:32" ht="18.75" customHeight="1" x14ac:dyDescent="0.25">
      <c r="A12" s="333"/>
      <c r="B12" s="339"/>
      <c r="C12" s="18"/>
      <c r="D12" s="267" t="s">
        <v>144</v>
      </c>
      <c r="E12" s="20"/>
      <c r="F12" s="267"/>
      <c r="G12" s="20"/>
      <c r="H12" s="267"/>
      <c r="I12" s="267"/>
      <c r="J12" s="338"/>
      <c r="K12" s="338"/>
      <c r="L12" s="338"/>
      <c r="M12" s="338"/>
      <c r="N12" s="338"/>
      <c r="O12" s="338"/>
      <c r="P12" s="338"/>
      <c r="Q12" s="338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38"/>
      <c r="AE12" s="337"/>
      <c r="AF12" s="333"/>
    </row>
    <row r="13" spans="1:32" ht="18.75" customHeight="1" x14ac:dyDescent="0.2">
      <c r="A13" s="333"/>
      <c r="B13" s="339"/>
      <c r="C13" s="338"/>
      <c r="D13" s="338"/>
      <c r="E13" s="338"/>
      <c r="F13" s="338"/>
      <c r="G13" s="338"/>
      <c r="H13" s="338"/>
      <c r="I13" s="338"/>
      <c r="J13" s="338"/>
      <c r="K13" s="338"/>
      <c r="L13" s="338"/>
      <c r="M13" s="338"/>
      <c r="N13" s="338"/>
      <c r="O13" s="338"/>
      <c r="P13" s="358"/>
      <c r="Q13" s="358"/>
      <c r="R13" s="358"/>
      <c r="S13" s="358"/>
      <c r="T13" s="35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7"/>
      <c r="AF13" s="333"/>
    </row>
    <row r="14" spans="1:32" ht="18.75" customHeight="1" x14ac:dyDescent="0.25">
      <c r="A14" s="333"/>
      <c r="B14" s="339"/>
      <c r="C14" s="267" t="s">
        <v>145</v>
      </c>
      <c r="D14" s="267"/>
      <c r="E14" s="20"/>
      <c r="F14" s="338"/>
      <c r="G14" s="20" t="s">
        <v>337</v>
      </c>
      <c r="H14" s="267"/>
      <c r="J14" s="338"/>
      <c r="K14" s="338"/>
      <c r="L14" s="338"/>
      <c r="M14" s="338"/>
      <c r="N14" s="338"/>
      <c r="O14" s="338"/>
      <c r="P14" s="358"/>
      <c r="Q14" s="358"/>
      <c r="R14" s="358"/>
      <c r="S14" s="358"/>
      <c r="T14" s="358"/>
      <c r="U14" s="537">
        <v>421400</v>
      </c>
      <c r="V14" s="538"/>
      <c r="W14" s="538"/>
      <c r="X14" s="538"/>
      <c r="Y14" s="539"/>
      <c r="Z14" s="338"/>
      <c r="AA14" s="338"/>
      <c r="AB14" s="338"/>
      <c r="AC14" s="338"/>
      <c r="AD14" s="338"/>
      <c r="AE14" s="337"/>
      <c r="AF14" s="333"/>
    </row>
    <row r="15" spans="1:32" ht="18.75" customHeight="1" x14ac:dyDescent="0.25">
      <c r="A15" s="333"/>
      <c r="B15" s="339"/>
      <c r="C15" s="338"/>
      <c r="D15" s="338"/>
      <c r="E15" s="338"/>
      <c r="F15" s="338"/>
      <c r="G15" s="20" t="s">
        <v>338</v>
      </c>
      <c r="H15" s="267"/>
      <c r="J15" s="338"/>
      <c r="K15" s="338"/>
      <c r="L15" s="338"/>
      <c r="M15" s="338"/>
      <c r="N15" s="338"/>
      <c r="O15" s="338"/>
      <c r="P15" s="358"/>
      <c r="Q15" s="358"/>
      <c r="R15" s="358"/>
      <c r="S15" s="358"/>
      <c r="T15" s="358"/>
      <c r="U15" s="540">
        <v>480900</v>
      </c>
      <c r="V15" s="540"/>
      <c r="W15" s="540"/>
      <c r="X15" s="540"/>
      <c r="Y15" s="541"/>
      <c r="Z15" s="338"/>
      <c r="AA15" s="338"/>
      <c r="AB15" s="338"/>
      <c r="AC15" s="338"/>
      <c r="AD15" s="338"/>
      <c r="AE15" s="337"/>
      <c r="AF15" s="333"/>
    </row>
    <row r="16" spans="1:32" ht="18.75" customHeight="1" x14ac:dyDescent="0.25">
      <c r="A16" s="333"/>
      <c r="B16" s="339"/>
      <c r="C16" s="338"/>
      <c r="D16" s="338"/>
      <c r="E16" s="338"/>
      <c r="F16" s="338"/>
      <c r="G16" s="20" t="s">
        <v>146</v>
      </c>
      <c r="H16" s="267"/>
      <c r="J16" s="338"/>
      <c r="K16" s="338"/>
      <c r="L16" s="338"/>
      <c r="M16" s="338"/>
      <c r="N16" s="338"/>
      <c r="O16" s="338"/>
      <c r="P16" s="358"/>
      <c r="Q16" s="358"/>
      <c r="R16" s="358"/>
      <c r="S16" s="358"/>
      <c r="T16" s="358"/>
      <c r="U16" s="533">
        <v>4237800</v>
      </c>
      <c r="V16" s="533"/>
      <c r="W16" s="533"/>
      <c r="X16" s="533"/>
      <c r="Y16" s="534"/>
      <c r="Z16" s="338"/>
      <c r="AA16" s="338"/>
      <c r="AB16" s="338"/>
      <c r="AC16" s="338"/>
      <c r="AD16" s="338"/>
      <c r="AE16" s="337"/>
      <c r="AF16" s="333"/>
    </row>
    <row r="17" spans="1:32" ht="18.75" customHeight="1" x14ac:dyDescent="0.25">
      <c r="A17" s="333"/>
      <c r="B17" s="339"/>
      <c r="C17" s="338"/>
      <c r="D17" s="338"/>
      <c r="E17" s="338"/>
      <c r="F17" s="338"/>
      <c r="G17" s="20" t="s">
        <v>147</v>
      </c>
      <c r="H17" s="267"/>
      <c r="J17" s="338"/>
      <c r="K17" s="338"/>
      <c r="L17" s="338"/>
      <c r="M17" s="338"/>
      <c r="N17" s="338"/>
      <c r="O17" s="338"/>
      <c r="P17" s="358"/>
      <c r="Q17" s="358"/>
      <c r="R17" s="358"/>
      <c r="S17" s="358"/>
      <c r="T17" s="358"/>
      <c r="U17" s="533">
        <v>1153600</v>
      </c>
      <c r="V17" s="533"/>
      <c r="W17" s="533"/>
      <c r="X17" s="533"/>
      <c r="Y17" s="534"/>
      <c r="Z17" s="338"/>
      <c r="AA17" s="338"/>
      <c r="AB17" s="338"/>
      <c r="AC17" s="338"/>
      <c r="AD17" s="338"/>
      <c r="AE17" s="337"/>
      <c r="AF17" s="333"/>
    </row>
    <row r="18" spans="1:32" ht="18.75" customHeight="1" x14ac:dyDescent="0.25">
      <c r="A18" s="333"/>
      <c r="B18" s="339"/>
      <c r="C18" s="338"/>
      <c r="D18" s="338"/>
      <c r="E18" s="338"/>
      <c r="F18" s="338"/>
      <c r="G18" s="20" t="s">
        <v>148</v>
      </c>
      <c r="H18" s="267"/>
      <c r="J18" s="338"/>
      <c r="K18" s="338"/>
      <c r="L18" s="338"/>
      <c r="M18" s="338"/>
      <c r="N18" s="338"/>
      <c r="O18" s="338"/>
      <c r="P18" s="358"/>
      <c r="Q18" s="358"/>
      <c r="R18" s="358"/>
      <c r="S18" s="358"/>
      <c r="T18" s="358"/>
      <c r="U18" s="533">
        <v>3165750</v>
      </c>
      <c r="V18" s="533"/>
      <c r="W18" s="533"/>
      <c r="X18" s="533"/>
      <c r="Y18" s="534"/>
      <c r="Z18" s="338"/>
      <c r="AA18" s="338"/>
      <c r="AB18" s="338"/>
      <c r="AC18" s="338"/>
      <c r="AD18" s="338"/>
      <c r="AE18" s="337"/>
      <c r="AF18" s="333"/>
    </row>
    <row r="19" spans="1:32" ht="18.75" customHeight="1" x14ac:dyDescent="0.25">
      <c r="A19" s="333"/>
      <c r="B19" s="339"/>
      <c r="C19" s="338"/>
      <c r="D19" s="338"/>
      <c r="E19" s="338"/>
      <c r="F19" s="338"/>
      <c r="G19" s="20" t="s">
        <v>149</v>
      </c>
      <c r="H19" s="267"/>
      <c r="J19" s="338"/>
      <c r="K19" s="338"/>
      <c r="L19" s="338"/>
      <c r="M19" s="338"/>
      <c r="N19" s="338"/>
      <c r="O19" s="338"/>
      <c r="P19" s="358"/>
      <c r="Q19" s="358"/>
      <c r="R19" s="358"/>
      <c r="S19" s="358"/>
      <c r="T19" s="358"/>
      <c r="U19" s="533">
        <v>1365000</v>
      </c>
      <c r="V19" s="533"/>
      <c r="W19" s="533"/>
      <c r="X19" s="533"/>
      <c r="Y19" s="534"/>
      <c r="Z19" s="338"/>
      <c r="AA19" s="338"/>
      <c r="AB19" s="338"/>
      <c r="AC19" s="338"/>
      <c r="AD19" s="338"/>
      <c r="AE19" s="337"/>
      <c r="AF19" s="333"/>
    </row>
    <row r="20" spans="1:32" ht="18.75" customHeight="1" x14ac:dyDescent="0.25">
      <c r="A20" s="333"/>
      <c r="B20" s="339"/>
      <c r="C20" s="338"/>
      <c r="D20" s="338"/>
      <c r="E20" s="338"/>
      <c r="F20" s="338"/>
      <c r="G20" s="20" t="s">
        <v>150</v>
      </c>
      <c r="H20" s="267"/>
      <c r="J20" s="338"/>
      <c r="K20" s="338"/>
      <c r="L20" s="338"/>
      <c r="M20" s="338"/>
      <c r="N20" s="338"/>
      <c r="O20" s="338"/>
      <c r="P20" s="358"/>
      <c r="Q20" s="358"/>
      <c r="R20" s="358"/>
      <c r="S20" s="358"/>
      <c r="T20" s="358"/>
      <c r="U20" s="533">
        <v>627900</v>
      </c>
      <c r="V20" s="533"/>
      <c r="W20" s="533"/>
      <c r="X20" s="533"/>
      <c r="Y20" s="534"/>
      <c r="Z20" s="338"/>
      <c r="AA20" s="338"/>
      <c r="AB20" s="338"/>
      <c r="AC20" s="338"/>
      <c r="AD20" s="338"/>
      <c r="AE20" s="337"/>
      <c r="AF20" s="333"/>
    </row>
    <row r="21" spans="1:32" ht="18.75" customHeight="1" x14ac:dyDescent="0.2">
      <c r="A21" s="333"/>
      <c r="B21" s="339"/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358"/>
      <c r="Q21" s="358"/>
      <c r="R21" s="358"/>
      <c r="S21" s="358"/>
      <c r="T21" s="358"/>
      <c r="U21" s="338"/>
      <c r="V21" s="338"/>
      <c r="W21" s="338"/>
      <c r="X21" s="340"/>
      <c r="Y21" s="338"/>
      <c r="Z21" s="338"/>
      <c r="AA21" s="338"/>
      <c r="AB21" s="338"/>
      <c r="AC21" s="338"/>
      <c r="AD21" s="338"/>
      <c r="AE21" s="337"/>
      <c r="AF21" s="333"/>
    </row>
    <row r="22" spans="1:32" ht="18.75" customHeight="1" x14ac:dyDescent="0.25">
      <c r="A22" s="333"/>
      <c r="B22" s="339"/>
      <c r="C22" s="18" t="s">
        <v>151</v>
      </c>
      <c r="D22" s="267"/>
      <c r="E22" s="20"/>
      <c r="F22" s="338"/>
      <c r="G22" s="20" t="s">
        <v>152</v>
      </c>
      <c r="H22" s="267"/>
      <c r="J22" s="338"/>
      <c r="K22" s="338"/>
      <c r="L22" s="338"/>
      <c r="M22" s="338"/>
      <c r="N22" s="338"/>
      <c r="O22" s="338"/>
      <c r="P22" s="358"/>
      <c r="Q22" s="358"/>
      <c r="R22" s="358"/>
      <c r="S22" s="358"/>
      <c r="T22" s="358"/>
      <c r="U22" s="533">
        <v>4935000</v>
      </c>
      <c r="V22" s="533"/>
      <c r="W22" s="533"/>
      <c r="X22" s="533"/>
      <c r="Y22" s="534"/>
      <c r="Z22" s="338"/>
      <c r="AA22" s="338"/>
      <c r="AB22" s="338"/>
      <c r="AC22" s="338"/>
      <c r="AD22" s="338"/>
      <c r="AE22" s="337"/>
      <c r="AF22" s="333"/>
    </row>
    <row r="23" spans="1:32" ht="18.75" customHeight="1" x14ac:dyDescent="0.25">
      <c r="A23" s="333"/>
      <c r="B23" s="339"/>
      <c r="C23" s="338"/>
      <c r="D23" s="338"/>
      <c r="E23" s="338"/>
      <c r="F23" s="338"/>
      <c r="G23" s="20" t="s">
        <v>153</v>
      </c>
      <c r="H23" s="267"/>
      <c r="J23" s="338"/>
      <c r="K23" s="338"/>
      <c r="L23" s="338"/>
      <c r="M23" s="338"/>
      <c r="N23" s="338"/>
      <c r="O23" s="338"/>
      <c r="P23" s="358"/>
      <c r="Q23" s="358"/>
      <c r="R23" s="358"/>
      <c r="S23" s="358"/>
      <c r="T23" s="358"/>
      <c r="U23" s="533">
        <v>4935000</v>
      </c>
      <c r="V23" s="533"/>
      <c r="W23" s="533"/>
      <c r="X23" s="533"/>
      <c r="Y23" s="534"/>
      <c r="Z23" s="338"/>
      <c r="AA23" s="338"/>
      <c r="AB23" s="338"/>
      <c r="AC23" s="338"/>
      <c r="AD23" s="338"/>
      <c r="AE23" s="337"/>
      <c r="AF23" s="333"/>
    </row>
    <row r="24" spans="1:32" ht="18.75" customHeight="1" x14ac:dyDescent="0.2">
      <c r="A24" s="333"/>
      <c r="B24" s="339"/>
      <c r="C24" s="338"/>
      <c r="D24" s="338"/>
      <c r="E24" s="338"/>
      <c r="F24" s="338"/>
      <c r="G24" s="338"/>
      <c r="H24" s="338"/>
      <c r="I24" s="338"/>
      <c r="J24" s="338"/>
      <c r="K24" s="338"/>
      <c r="L24" s="338"/>
      <c r="M24" s="338"/>
      <c r="N24" s="338"/>
      <c r="O24" s="338"/>
      <c r="P24" s="358"/>
      <c r="Q24" s="358"/>
      <c r="R24" s="358"/>
      <c r="S24" s="358"/>
      <c r="T24" s="358"/>
      <c r="U24" s="338"/>
      <c r="V24" s="338"/>
      <c r="W24" s="338"/>
      <c r="X24" s="338"/>
      <c r="Y24" s="338"/>
      <c r="Z24" s="338"/>
      <c r="AA24" s="338"/>
      <c r="AB24" s="338"/>
      <c r="AC24" s="338"/>
      <c r="AD24" s="338"/>
      <c r="AE24" s="337"/>
      <c r="AF24" s="333"/>
    </row>
    <row r="25" spans="1:32" ht="18.75" customHeight="1" x14ac:dyDescent="0.25">
      <c r="A25" s="333"/>
      <c r="B25" s="339"/>
      <c r="C25" s="18" t="s">
        <v>154</v>
      </c>
      <c r="D25" s="267"/>
      <c r="E25" s="20"/>
      <c r="F25" s="338"/>
      <c r="G25" s="20" t="s">
        <v>155</v>
      </c>
      <c r="H25" s="267"/>
      <c r="J25" s="338"/>
      <c r="K25" s="338"/>
      <c r="L25" s="338"/>
      <c r="M25" s="338"/>
      <c r="N25" s="338"/>
      <c r="O25" s="338"/>
      <c r="P25" s="358"/>
      <c r="Q25" s="358"/>
      <c r="R25" s="358"/>
      <c r="S25" s="358"/>
      <c r="T25" s="358"/>
      <c r="U25" s="533">
        <v>4537050</v>
      </c>
      <c r="V25" s="533"/>
      <c r="W25" s="533"/>
      <c r="X25" s="533"/>
      <c r="Y25" s="534"/>
      <c r="Z25" s="338"/>
      <c r="AA25" s="338"/>
      <c r="AB25" s="338"/>
      <c r="AC25" s="338"/>
      <c r="AD25" s="338"/>
      <c r="AE25" s="337"/>
      <c r="AF25" s="333"/>
    </row>
    <row r="26" spans="1:32" ht="18.75" customHeight="1" x14ac:dyDescent="0.25">
      <c r="A26" s="333"/>
      <c r="B26" s="339"/>
      <c r="C26" s="338"/>
      <c r="D26" s="338"/>
      <c r="E26" s="338"/>
      <c r="F26" s="338"/>
      <c r="G26" s="20" t="s">
        <v>156</v>
      </c>
      <c r="H26" s="267"/>
      <c r="J26" s="338"/>
      <c r="K26" s="338"/>
      <c r="L26" s="338"/>
      <c r="M26" s="338"/>
      <c r="N26" s="338"/>
      <c r="O26" s="338"/>
      <c r="P26" s="358"/>
      <c r="Q26" s="358"/>
      <c r="R26" s="358"/>
      <c r="S26" s="358"/>
      <c r="T26" s="358"/>
      <c r="U26" s="533">
        <v>4537050</v>
      </c>
      <c r="V26" s="533"/>
      <c r="W26" s="533"/>
      <c r="X26" s="533"/>
      <c r="Y26" s="534"/>
      <c r="Z26" s="338"/>
      <c r="AA26" s="338"/>
      <c r="AB26" s="338"/>
      <c r="AC26" s="338"/>
      <c r="AD26" s="338"/>
      <c r="AE26" s="337"/>
      <c r="AF26" s="333"/>
    </row>
    <row r="27" spans="1:32" ht="18.75" customHeight="1" x14ac:dyDescent="0.25">
      <c r="A27" s="333"/>
      <c r="B27" s="339"/>
      <c r="C27" s="338"/>
      <c r="D27" s="338"/>
      <c r="E27" s="338"/>
      <c r="F27" s="338"/>
      <c r="G27" s="20" t="s">
        <v>157</v>
      </c>
      <c r="H27" s="267"/>
      <c r="J27" s="358"/>
      <c r="K27" s="358"/>
      <c r="L27" s="358"/>
      <c r="M27" s="358"/>
      <c r="N27" s="358"/>
      <c r="O27" s="358"/>
      <c r="P27" s="358"/>
      <c r="Q27" s="358"/>
      <c r="R27" s="358"/>
      <c r="S27" s="358"/>
      <c r="T27" s="358"/>
      <c r="U27" s="533">
        <v>2424625</v>
      </c>
      <c r="V27" s="533"/>
      <c r="W27" s="533"/>
      <c r="X27" s="533"/>
      <c r="Y27" s="534"/>
      <c r="Z27" s="338"/>
      <c r="AA27" s="338"/>
      <c r="AB27" s="338"/>
      <c r="AC27" s="338"/>
      <c r="AD27" s="338"/>
      <c r="AE27" s="337"/>
      <c r="AF27" s="333"/>
    </row>
    <row r="28" spans="1:32" ht="18.75" customHeight="1" x14ac:dyDescent="0.2">
      <c r="A28" s="333"/>
      <c r="B28" s="339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58"/>
      <c r="W28" s="358"/>
      <c r="X28" s="358"/>
      <c r="Y28" s="358"/>
      <c r="Z28" s="338"/>
      <c r="AA28" s="338"/>
      <c r="AB28" s="338"/>
      <c r="AC28" s="338"/>
      <c r="AD28" s="338"/>
      <c r="AE28" s="337"/>
      <c r="AF28" s="333"/>
    </row>
    <row r="29" spans="1:32" ht="18.75" customHeight="1" x14ac:dyDescent="0.25">
      <c r="A29" s="333"/>
      <c r="B29" s="339"/>
      <c r="C29" s="338"/>
      <c r="D29" s="338"/>
      <c r="E29" s="338"/>
      <c r="F29" s="338"/>
      <c r="G29" s="338"/>
      <c r="H29" s="338"/>
      <c r="I29" s="338"/>
      <c r="J29" s="358"/>
      <c r="K29" s="358"/>
      <c r="L29" s="358"/>
      <c r="M29" s="358"/>
      <c r="N29" s="358"/>
      <c r="O29" s="358"/>
      <c r="P29" s="358"/>
      <c r="Q29" s="358"/>
      <c r="R29" s="358"/>
      <c r="S29" s="358"/>
      <c r="T29" s="151" t="s">
        <v>292</v>
      </c>
      <c r="U29" s="533">
        <f>SUM(U14:Y27)</f>
        <v>32821075</v>
      </c>
      <c r="V29" s="533"/>
      <c r="W29" s="533"/>
      <c r="X29" s="533"/>
      <c r="Y29" s="534"/>
      <c r="Z29" s="338"/>
      <c r="AA29" s="338"/>
      <c r="AB29" s="338"/>
      <c r="AC29" s="338"/>
      <c r="AD29" s="338"/>
      <c r="AE29" s="337"/>
      <c r="AF29" s="333"/>
    </row>
    <row r="30" spans="1:32" ht="18.75" customHeight="1" x14ac:dyDescent="0.2">
      <c r="A30" s="333"/>
      <c r="B30" s="339"/>
      <c r="C30" s="338"/>
      <c r="D30" s="338"/>
      <c r="E30" s="338"/>
      <c r="F30" s="338"/>
      <c r="G30" s="338"/>
      <c r="H30" s="338"/>
      <c r="I30" s="33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38"/>
      <c r="Z30" s="338"/>
      <c r="AA30" s="338"/>
      <c r="AB30" s="338"/>
      <c r="AC30" s="338"/>
      <c r="AD30" s="338"/>
      <c r="AE30" s="337"/>
      <c r="AF30" s="333"/>
    </row>
    <row r="31" spans="1:32" ht="18.75" customHeight="1" x14ac:dyDescent="0.25">
      <c r="A31" s="333"/>
      <c r="B31" s="339"/>
      <c r="C31" s="338"/>
      <c r="D31" s="338"/>
      <c r="E31" s="338"/>
      <c r="F31" s="338"/>
      <c r="G31" s="338"/>
      <c r="H31" s="338"/>
      <c r="I31" s="338"/>
      <c r="J31" s="358"/>
      <c r="K31" s="358"/>
      <c r="L31" s="358"/>
      <c r="M31" s="358"/>
      <c r="N31" s="358"/>
      <c r="O31" s="358"/>
      <c r="P31" s="358"/>
      <c r="Q31" s="358"/>
      <c r="R31" s="358"/>
      <c r="S31" s="358"/>
      <c r="T31" s="151" t="s">
        <v>158</v>
      </c>
      <c r="U31" s="535">
        <v>75</v>
      </c>
      <c r="V31" s="535"/>
      <c r="W31" s="535"/>
      <c r="X31" s="535"/>
      <c r="Y31" s="536"/>
      <c r="Z31" s="338"/>
      <c r="AA31" s="338"/>
      <c r="AB31" s="338"/>
      <c r="AC31" s="338"/>
      <c r="AD31" s="338"/>
      <c r="AE31" s="337"/>
      <c r="AF31" s="333"/>
    </row>
    <row r="32" spans="1:32" ht="18.75" customHeight="1" x14ac:dyDescent="0.2">
      <c r="A32" s="333"/>
      <c r="B32" s="339"/>
      <c r="C32" s="338"/>
      <c r="D32" s="338"/>
      <c r="E32" s="338"/>
      <c r="F32" s="338"/>
      <c r="G32" s="338"/>
      <c r="H32" s="338"/>
      <c r="I32" s="338"/>
      <c r="J32" s="358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38"/>
      <c r="Z32" s="338"/>
      <c r="AA32" s="338"/>
      <c r="AB32" s="338"/>
      <c r="AC32" s="338"/>
      <c r="AD32" s="338"/>
      <c r="AE32" s="337"/>
      <c r="AF32" s="333"/>
    </row>
    <row r="33" spans="1:32" ht="18.75" customHeight="1" x14ac:dyDescent="0.25">
      <c r="A33" s="333"/>
      <c r="B33" s="339"/>
      <c r="C33" s="338"/>
      <c r="D33" s="338"/>
      <c r="E33" s="338"/>
      <c r="F33" s="338"/>
      <c r="G33" s="338"/>
      <c r="H33" s="338"/>
      <c r="I33" s="33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151" t="s">
        <v>293</v>
      </c>
      <c r="U33" s="531">
        <v>2027</v>
      </c>
      <c r="V33" s="531"/>
      <c r="W33" s="531"/>
      <c r="X33" s="531"/>
      <c r="Y33" s="532"/>
      <c r="Z33" s="338"/>
      <c r="AA33" s="338"/>
      <c r="AB33" s="338"/>
      <c r="AC33" s="338"/>
      <c r="AD33" s="338"/>
      <c r="AE33" s="337"/>
      <c r="AF33" s="333"/>
    </row>
    <row r="34" spans="1:32" ht="18.75" customHeight="1" x14ac:dyDescent="0.2">
      <c r="A34" s="333"/>
      <c r="B34" s="339"/>
      <c r="C34" s="338"/>
      <c r="D34" s="338"/>
      <c r="E34" s="338"/>
      <c r="F34" s="338"/>
      <c r="G34" s="338"/>
      <c r="H34" s="338"/>
      <c r="I34" s="338"/>
      <c r="J34" s="358"/>
      <c r="K34" s="358"/>
      <c r="L34" s="358"/>
      <c r="M34" s="358"/>
      <c r="N34" s="358"/>
      <c r="O34" s="358"/>
      <c r="P34" s="358"/>
      <c r="Q34" s="358"/>
      <c r="R34" s="358"/>
      <c r="S34" s="358"/>
      <c r="T34" s="358"/>
      <c r="U34" s="358"/>
      <c r="V34" s="358"/>
      <c r="W34" s="358"/>
      <c r="X34" s="358"/>
      <c r="Y34" s="338"/>
      <c r="Z34" s="338"/>
      <c r="AA34" s="338"/>
      <c r="AB34" s="338"/>
      <c r="AC34" s="338"/>
      <c r="AD34" s="338"/>
      <c r="AE34" s="337"/>
      <c r="AF34" s="333"/>
    </row>
    <row r="35" spans="1:32" ht="18.75" customHeight="1" x14ac:dyDescent="0.25">
      <c r="A35" s="333"/>
      <c r="B35" s="339"/>
      <c r="C35" s="338"/>
      <c r="D35" s="338"/>
      <c r="E35" s="338"/>
      <c r="F35" s="338"/>
      <c r="G35" s="338"/>
      <c r="H35" s="338"/>
      <c r="I35" s="33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151" t="s">
        <v>294</v>
      </c>
      <c r="U35" s="531">
        <v>2057</v>
      </c>
      <c r="V35" s="531"/>
      <c r="W35" s="531"/>
      <c r="X35" s="531"/>
      <c r="Y35" s="532"/>
      <c r="Z35" s="338"/>
      <c r="AA35" s="338"/>
      <c r="AB35" s="338"/>
      <c r="AC35" s="338"/>
      <c r="AD35" s="338"/>
      <c r="AE35" s="337"/>
      <c r="AF35" s="333"/>
    </row>
    <row r="36" spans="1:32" ht="18.75" customHeight="1" x14ac:dyDescent="0.2">
      <c r="A36" s="333"/>
      <c r="B36" s="339"/>
      <c r="C36" s="338"/>
      <c r="D36" s="338"/>
      <c r="E36" s="338"/>
      <c r="F36" s="338"/>
      <c r="G36" s="338"/>
      <c r="H36" s="338"/>
      <c r="I36" s="338"/>
      <c r="J36" s="358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38"/>
      <c r="Z36" s="338"/>
      <c r="AA36" s="338"/>
      <c r="AB36" s="338"/>
      <c r="AC36" s="338"/>
      <c r="AD36" s="338"/>
      <c r="AE36" s="337"/>
      <c r="AF36" s="333"/>
    </row>
    <row r="37" spans="1:32" ht="18.75" customHeight="1" x14ac:dyDescent="0.25">
      <c r="A37" s="333"/>
      <c r="B37" s="339"/>
      <c r="C37" s="338"/>
      <c r="D37" s="338"/>
      <c r="E37" s="338"/>
      <c r="F37" s="338"/>
      <c r="G37" s="338"/>
      <c r="H37" s="338"/>
      <c r="I37" s="338"/>
      <c r="J37" s="358"/>
      <c r="K37" s="358"/>
      <c r="L37" s="358"/>
      <c r="M37" s="358"/>
      <c r="N37" s="358"/>
      <c r="O37" s="358"/>
      <c r="P37" s="358"/>
      <c r="Q37" s="358"/>
      <c r="R37" s="358"/>
      <c r="S37" s="358"/>
      <c r="T37" s="419" t="s">
        <v>295</v>
      </c>
      <c r="U37" s="533">
        <f>ROUND(((U31-(U35-U33))/U31)*U29,-5)</f>
        <v>19700000</v>
      </c>
      <c r="V37" s="533"/>
      <c r="W37" s="533"/>
      <c r="X37" s="533"/>
      <c r="Y37" s="534"/>
      <c r="Z37" s="338"/>
      <c r="AA37" s="338"/>
      <c r="AB37" s="338"/>
      <c r="AC37" s="338"/>
      <c r="AD37" s="338"/>
      <c r="AE37" s="337"/>
      <c r="AF37" s="333"/>
    </row>
    <row r="38" spans="1:32" ht="18.75" customHeight="1" x14ac:dyDescent="0.2">
      <c r="A38" s="333"/>
      <c r="B38" s="339"/>
      <c r="C38" s="338"/>
      <c r="D38" s="358"/>
      <c r="E38" s="358"/>
      <c r="F38" s="358"/>
      <c r="G38" s="358"/>
      <c r="H38" s="358"/>
      <c r="I38" s="358"/>
      <c r="J38" s="358"/>
      <c r="K38" s="358"/>
      <c r="L38" s="358"/>
      <c r="M38" s="358"/>
      <c r="N38" s="358"/>
      <c r="O38" s="358"/>
      <c r="P38" s="358"/>
      <c r="Q38" s="358"/>
      <c r="R38" s="358"/>
      <c r="S38" s="358"/>
      <c r="T38" s="358"/>
      <c r="U38" s="358"/>
      <c r="V38" s="358"/>
      <c r="W38" s="358"/>
      <c r="X38" s="358"/>
      <c r="Y38" s="338"/>
      <c r="Z38" s="338"/>
      <c r="AA38" s="338"/>
      <c r="AB38" s="338"/>
      <c r="AC38" s="338"/>
      <c r="AD38" s="338"/>
      <c r="AE38" s="337"/>
      <c r="AF38" s="333"/>
    </row>
    <row r="39" spans="1:32" ht="18.75" customHeight="1" x14ac:dyDescent="0.2">
      <c r="A39" s="333"/>
      <c r="B39" s="339"/>
      <c r="C39" s="338"/>
      <c r="D39" s="358"/>
      <c r="E39" s="358"/>
      <c r="F39" s="358"/>
      <c r="G39" s="358"/>
      <c r="H39" s="358"/>
      <c r="I39" s="358"/>
      <c r="J39" s="358"/>
      <c r="K39" s="358"/>
      <c r="L39" s="358"/>
      <c r="M39" s="358"/>
      <c r="N39" s="358"/>
      <c r="O39" s="358"/>
      <c r="P39" s="358"/>
      <c r="Q39" s="358"/>
      <c r="R39" s="358"/>
      <c r="S39" s="358"/>
      <c r="T39" s="358"/>
      <c r="U39" s="358"/>
      <c r="V39" s="358"/>
      <c r="W39" s="358"/>
      <c r="X39" s="358"/>
      <c r="Y39" s="338"/>
      <c r="Z39" s="338"/>
      <c r="AA39" s="338"/>
      <c r="AB39" s="338"/>
      <c r="AC39" s="338"/>
      <c r="AD39" s="338"/>
      <c r="AE39" s="337"/>
      <c r="AF39" s="333"/>
    </row>
    <row r="40" spans="1:32" ht="18.75" customHeight="1" x14ac:dyDescent="0.2">
      <c r="A40" s="333"/>
      <c r="B40" s="339"/>
      <c r="C40" s="338"/>
      <c r="D40" s="358"/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8"/>
      <c r="V40" s="358"/>
      <c r="W40" s="358"/>
      <c r="X40" s="358"/>
      <c r="Y40" s="338"/>
      <c r="Z40" s="338"/>
      <c r="AA40" s="338"/>
      <c r="AB40" s="338"/>
      <c r="AC40" s="338"/>
      <c r="AD40" s="338"/>
      <c r="AE40" s="337"/>
      <c r="AF40" s="333"/>
    </row>
    <row r="41" spans="1:32" ht="18.75" customHeight="1" x14ac:dyDescent="0.2">
      <c r="A41" s="333"/>
      <c r="B41" s="339"/>
      <c r="C41" s="338"/>
      <c r="D41" s="358"/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38"/>
      <c r="Z41" s="338"/>
      <c r="AA41" s="338"/>
      <c r="AB41" s="338"/>
      <c r="AC41" s="338"/>
      <c r="AD41" s="338"/>
      <c r="AE41" s="337"/>
      <c r="AF41" s="333"/>
    </row>
    <row r="42" spans="1:32" ht="18.75" customHeight="1" x14ac:dyDescent="0.2">
      <c r="A42" s="333"/>
      <c r="B42" s="339"/>
      <c r="C42" s="338"/>
      <c r="D42" s="358"/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338"/>
      <c r="Z42" s="338"/>
      <c r="AA42" s="338"/>
      <c r="AB42" s="338"/>
      <c r="AC42" s="338"/>
      <c r="AD42" s="338"/>
      <c r="AE42" s="337"/>
      <c r="AF42" s="333"/>
    </row>
    <row r="43" spans="1:32" ht="18.75" customHeight="1" x14ac:dyDescent="0.2">
      <c r="A43" s="333"/>
      <c r="B43" s="339"/>
      <c r="C43" s="338"/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338"/>
      <c r="Z43" s="338"/>
      <c r="AA43" s="338"/>
      <c r="AB43" s="338"/>
      <c r="AC43" s="338"/>
      <c r="AD43" s="338"/>
      <c r="AE43" s="337"/>
      <c r="AF43" s="333"/>
    </row>
    <row r="44" spans="1:32" ht="18.75" customHeight="1" thickBot="1" x14ac:dyDescent="0.25">
      <c r="A44" s="333"/>
      <c r="B44" s="336"/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35"/>
      <c r="O44" s="335"/>
      <c r="P44" s="335"/>
      <c r="Q44" s="335"/>
      <c r="R44" s="335"/>
      <c r="S44" s="335"/>
      <c r="T44" s="335"/>
      <c r="U44" s="335"/>
      <c r="V44" s="335"/>
      <c r="W44" s="335"/>
      <c r="X44" s="335"/>
      <c r="Y44" s="335"/>
      <c r="Z44" s="335"/>
      <c r="AA44" s="335"/>
      <c r="AB44" s="335"/>
      <c r="AC44" s="335"/>
      <c r="AD44" s="335"/>
      <c r="AE44" s="334"/>
      <c r="AF44" s="333"/>
    </row>
    <row r="45" spans="1:32" ht="5.25" customHeight="1" x14ac:dyDescent="0.2">
      <c r="A45" s="333"/>
      <c r="B45" s="333"/>
      <c r="C45" s="333"/>
      <c r="F45" s="333"/>
      <c r="G45" s="333"/>
      <c r="H45" s="333"/>
      <c r="I45" s="333"/>
      <c r="J45" s="333"/>
      <c r="K45" s="333"/>
      <c r="L45" s="333"/>
      <c r="M45" s="333"/>
      <c r="N45" s="333"/>
      <c r="O45" s="333"/>
      <c r="P45" s="333"/>
      <c r="Q45" s="333"/>
      <c r="R45" s="333"/>
      <c r="S45" s="333"/>
      <c r="T45" s="333"/>
      <c r="U45" s="333"/>
      <c r="V45" s="333"/>
      <c r="W45" s="333"/>
      <c r="X45" s="333"/>
      <c r="Y45" s="333"/>
      <c r="Z45" s="333"/>
      <c r="AA45" s="333"/>
      <c r="AB45" s="333"/>
      <c r="AC45" s="333"/>
      <c r="AD45" s="333"/>
      <c r="AE45" s="333"/>
    </row>
  </sheetData>
  <mergeCells count="31">
    <mergeCell ref="V6:Y6"/>
    <mergeCell ref="AB6:AE6"/>
    <mergeCell ref="A2:O2"/>
    <mergeCell ref="T2:AE2"/>
    <mergeCell ref="A3:O3"/>
    <mergeCell ref="V3:Y3"/>
    <mergeCell ref="Z3:AA3"/>
    <mergeCell ref="AB3:AE3"/>
    <mergeCell ref="A4:O4"/>
    <mergeCell ref="V4:Y4"/>
    <mergeCell ref="AB4:AE4"/>
    <mergeCell ref="V5:Y5"/>
    <mergeCell ref="AB5:AE5"/>
    <mergeCell ref="U26:Y26"/>
    <mergeCell ref="D9:AC10"/>
    <mergeCell ref="U14:Y14"/>
    <mergeCell ref="U15:Y15"/>
    <mergeCell ref="U16:Y16"/>
    <mergeCell ref="U17:Y17"/>
    <mergeCell ref="U18:Y18"/>
    <mergeCell ref="U19:Y19"/>
    <mergeCell ref="U20:Y20"/>
    <mergeCell ref="U22:Y22"/>
    <mergeCell ref="U23:Y23"/>
    <mergeCell ref="U25:Y25"/>
    <mergeCell ref="U35:Y35"/>
    <mergeCell ref="U37:Y37"/>
    <mergeCell ref="U27:Y27"/>
    <mergeCell ref="U29:Y29"/>
    <mergeCell ref="U31:Y31"/>
    <mergeCell ref="U33:Y33"/>
  </mergeCells>
  <hyperlinks>
    <hyperlink ref="A4" r:id="rId1" xr:uid="{2F8E39A6-38D3-4F37-8EA2-D73621308BBF}"/>
  </hyperlinks>
  <pageMargins left="0.25" right="0.2" top="0.25" bottom="0.25" header="0" footer="0"/>
  <pageSetup scale="98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FF1D-DCBB-4D15-B978-0848F0C66460}">
  <sheetPr>
    <pageSetUpPr fitToPage="1"/>
  </sheetPr>
  <dimension ref="A1:K47"/>
  <sheetViews>
    <sheetView view="pageBreakPreview" zoomScaleNormal="100" zoomScaleSheetLayoutView="100" workbookViewId="0">
      <selection activeCell="H9" sqref="H9"/>
    </sheetView>
  </sheetViews>
  <sheetFormatPr defaultRowHeight="15" x14ac:dyDescent="0.25"/>
  <cols>
    <col min="1" max="6" width="9.140625" style="267"/>
    <col min="7" max="7" width="15.7109375" style="267" customWidth="1"/>
    <col min="8" max="16384" width="9.140625" style="267"/>
  </cols>
  <sheetData>
    <row r="1" spans="1:11" x14ac:dyDescent="0.25">
      <c r="A1" s="287" t="s">
        <v>169</v>
      </c>
    </row>
    <row r="3" spans="1:11" x14ac:dyDescent="0.25">
      <c r="B3" s="267" t="s">
        <v>170</v>
      </c>
    </row>
    <row r="4" spans="1:11" x14ac:dyDescent="0.25">
      <c r="C4" s="542" t="s">
        <v>171</v>
      </c>
      <c r="D4" s="542"/>
      <c r="E4" s="542"/>
      <c r="F4" s="542"/>
      <c r="G4" s="542"/>
      <c r="H4" s="542"/>
      <c r="I4" s="542"/>
      <c r="J4" s="542"/>
      <c r="K4" s="542"/>
    </row>
    <row r="5" spans="1:11" x14ac:dyDescent="0.25">
      <c r="C5" s="542"/>
      <c r="D5" s="542"/>
      <c r="E5" s="542"/>
      <c r="F5" s="542"/>
      <c r="G5" s="542"/>
      <c r="H5" s="542"/>
      <c r="I5" s="542"/>
      <c r="J5" s="542"/>
      <c r="K5" s="542"/>
    </row>
    <row r="7" spans="1:11" x14ac:dyDescent="0.25">
      <c r="F7" s="151" t="s">
        <v>172</v>
      </c>
      <c r="G7" s="268">
        <f>5.8+3.1+0.5*6.7</f>
        <v>12.25</v>
      </c>
      <c r="H7" s="267" t="s">
        <v>173</v>
      </c>
    </row>
    <row r="8" spans="1:11" x14ac:dyDescent="0.25">
      <c r="H8" s="267" t="s">
        <v>174</v>
      </c>
    </row>
    <row r="9" spans="1:11" x14ac:dyDescent="0.25">
      <c r="H9" s="267" t="s">
        <v>280</v>
      </c>
    </row>
    <row r="11" spans="1:11" x14ac:dyDescent="0.25">
      <c r="G11" s="158">
        <f>G7*43560</f>
        <v>533610</v>
      </c>
      <c r="H11" s="267" t="s">
        <v>175</v>
      </c>
    </row>
    <row r="13" spans="1:11" x14ac:dyDescent="0.25">
      <c r="D13" s="267" t="s">
        <v>176</v>
      </c>
      <c r="G13" s="268">
        <v>1.5</v>
      </c>
      <c r="H13" s="267" t="s">
        <v>177</v>
      </c>
    </row>
    <row r="14" spans="1:11" x14ac:dyDescent="0.25">
      <c r="G14" s="268">
        <v>152</v>
      </c>
      <c r="H14" s="267" t="s">
        <v>178</v>
      </c>
    </row>
    <row r="15" spans="1:11" x14ac:dyDescent="0.25">
      <c r="A15" s="33"/>
    </row>
    <row r="16" spans="1:11" x14ac:dyDescent="0.25">
      <c r="A16" s="33"/>
      <c r="G16" s="288">
        <v>70</v>
      </c>
      <c r="H16" s="267" t="s">
        <v>179</v>
      </c>
    </row>
    <row r="17" spans="1:9" x14ac:dyDescent="0.25">
      <c r="A17" s="203"/>
    </row>
    <row r="18" spans="1:9" x14ac:dyDescent="0.25">
      <c r="A18" s="203"/>
      <c r="F18" s="151" t="s">
        <v>182</v>
      </c>
      <c r="G18" s="289">
        <f>(G11*(G13/12))*(G14/2000)</f>
        <v>5069.2950000000001</v>
      </c>
      <c r="H18" s="267" t="s">
        <v>181</v>
      </c>
    </row>
    <row r="20" spans="1:9" x14ac:dyDescent="0.25">
      <c r="F20" s="151" t="s">
        <v>180</v>
      </c>
      <c r="G20" s="288">
        <f>G18*G16</f>
        <v>354850.65</v>
      </c>
    </row>
    <row r="22" spans="1:9" x14ac:dyDescent="0.25">
      <c r="D22" s="290" t="s">
        <v>183</v>
      </c>
      <c r="E22" s="290"/>
      <c r="F22" s="290"/>
      <c r="G22" s="290"/>
      <c r="H22" s="290"/>
      <c r="I22" s="290"/>
    </row>
    <row r="24" spans="1:9" x14ac:dyDescent="0.25">
      <c r="F24" s="151" t="s">
        <v>184</v>
      </c>
      <c r="G24" s="288">
        <v>4175287</v>
      </c>
    </row>
    <row r="25" spans="1:9" x14ac:dyDescent="0.25">
      <c r="F25" s="151" t="s">
        <v>180</v>
      </c>
      <c r="G25" s="288">
        <v>1737650</v>
      </c>
    </row>
    <row r="27" spans="1:9" x14ac:dyDescent="0.25">
      <c r="F27" s="151" t="s">
        <v>185</v>
      </c>
      <c r="G27" s="152">
        <f>G24/G25</f>
        <v>2.4028354386671653</v>
      </c>
    </row>
    <row r="29" spans="1:9" x14ac:dyDescent="0.25">
      <c r="D29" s="290" t="s">
        <v>186</v>
      </c>
    </row>
    <row r="31" spans="1:9" x14ac:dyDescent="0.25">
      <c r="F31" s="151" t="s">
        <v>184</v>
      </c>
      <c r="G31" s="288">
        <v>5056832.5</v>
      </c>
    </row>
    <row r="32" spans="1:9" x14ac:dyDescent="0.25">
      <c r="F32" s="151" t="s">
        <v>180</v>
      </c>
      <c r="G32" s="288">
        <v>1580275</v>
      </c>
    </row>
    <row r="34" spans="4:7" x14ac:dyDescent="0.25">
      <c r="F34" s="151" t="s">
        <v>185</v>
      </c>
      <c r="G34" s="152">
        <f>G31/G32</f>
        <v>3.199969941940485</v>
      </c>
    </row>
    <row r="36" spans="4:7" x14ac:dyDescent="0.25">
      <c r="D36" s="290" t="s">
        <v>223</v>
      </c>
    </row>
    <row r="38" spans="4:7" x14ac:dyDescent="0.25">
      <c r="F38" s="151" t="s">
        <v>184</v>
      </c>
      <c r="G38" s="288">
        <v>4059045.68</v>
      </c>
    </row>
    <row r="39" spans="4:7" x14ac:dyDescent="0.25">
      <c r="F39" s="151" t="s">
        <v>180</v>
      </c>
      <c r="G39" s="288">
        <v>1445375</v>
      </c>
    </row>
    <row r="41" spans="4:7" x14ac:dyDescent="0.25">
      <c r="F41" s="151" t="s">
        <v>185</v>
      </c>
      <c r="G41" s="152">
        <f>G38/G39</f>
        <v>2.8082993548387098</v>
      </c>
    </row>
    <row r="44" spans="4:7" x14ac:dyDescent="0.25">
      <c r="F44" s="151" t="s">
        <v>187</v>
      </c>
      <c r="G44" s="152">
        <f>AVERAGE(G27,G34,G41)</f>
        <v>2.8037015784821198</v>
      </c>
    </row>
    <row r="46" spans="4:7" x14ac:dyDescent="0.25">
      <c r="F46" s="151" t="s">
        <v>188</v>
      </c>
      <c r="G46" s="291">
        <f>G20*G44</f>
        <v>994895.3275304063</v>
      </c>
    </row>
    <row r="47" spans="4:7" x14ac:dyDescent="0.25">
      <c r="F47" s="151" t="s">
        <v>189</v>
      </c>
      <c r="G47" s="291">
        <f>ROUNDUP(G46,-6)</f>
        <v>1000000</v>
      </c>
    </row>
  </sheetData>
  <mergeCells count="1">
    <mergeCell ref="C4:K5"/>
  </mergeCells>
  <pageMargins left="0.7" right="0.7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0CFBB-556A-4E9D-A1FF-D8FEDE3FC7E0}">
  <sheetPr>
    <pageSetUpPr fitToPage="1"/>
  </sheetPr>
  <dimension ref="A1:I45"/>
  <sheetViews>
    <sheetView view="pageBreakPreview" zoomScale="80" zoomScaleNormal="100" zoomScaleSheetLayoutView="80" workbookViewId="0">
      <selection activeCell="G6" sqref="G6"/>
    </sheetView>
  </sheetViews>
  <sheetFormatPr defaultRowHeight="15" x14ac:dyDescent="0.25"/>
  <cols>
    <col min="1" max="6" width="9.140625" style="267"/>
    <col min="7" max="7" width="15.7109375" style="267" customWidth="1"/>
    <col min="8" max="16384" width="9.140625" style="267"/>
  </cols>
  <sheetData>
    <row r="1" spans="1:8" x14ac:dyDescent="0.25">
      <c r="A1" s="287" t="s">
        <v>216</v>
      </c>
    </row>
    <row r="3" spans="1:8" x14ac:dyDescent="0.25">
      <c r="B3" s="267" t="s">
        <v>217</v>
      </c>
    </row>
    <row r="5" spans="1:8" x14ac:dyDescent="0.25">
      <c r="F5" s="151" t="s">
        <v>218</v>
      </c>
      <c r="G5" s="322">
        <f>33.6+15.4+0.5*17.5</f>
        <v>57.75</v>
      </c>
      <c r="H5" s="267" t="s">
        <v>173</v>
      </c>
    </row>
    <row r="6" spans="1:8" x14ac:dyDescent="0.25">
      <c r="H6" s="267" t="s">
        <v>174</v>
      </c>
    </row>
    <row r="7" spans="1:8" x14ac:dyDescent="0.25">
      <c r="H7" s="267" t="s">
        <v>280</v>
      </c>
    </row>
    <row r="9" spans="1:8" x14ac:dyDescent="0.25">
      <c r="G9" s="158">
        <f>G5*43560</f>
        <v>2515590</v>
      </c>
      <c r="H9" s="267" t="s">
        <v>175</v>
      </c>
    </row>
    <row r="11" spans="1:8" x14ac:dyDescent="0.25">
      <c r="D11" s="267" t="s">
        <v>176</v>
      </c>
      <c r="G11" s="322">
        <v>1.5</v>
      </c>
      <c r="H11" s="267" t="s">
        <v>177</v>
      </c>
    </row>
    <row r="12" spans="1:8" x14ac:dyDescent="0.25">
      <c r="G12" s="322">
        <v>152</v>
      </c>
      <c r="H12" s="267" t="s">
        <v>178</v>
      </c>
    </row>
    <row r="13" spans="1:8" x14ac:dyDescent="0.25">
      <c r="A13" s="33"/>
    </row>
    <row r="14" spans="1:8" x14ac:dyDescent="0.25">
      <c r="A14" s="33"/>
      <c r="G14" s="288">
        <v>70</v>
      </c>
      <c r="H14" s="267" t="s">
        <v>179</v>
      </c>
    </row>
    <row r="15" spans="1:8" x14ac:dyDescent="0.25">
      <c r="A15" s="321"/>
    </row>
    <row r="16" spans="1:8" x14ac:dyDescent="0.25">
      <c r="A16" s="321"/>
      <c r="F16" s="151" t="s">
        <v>182</v>
      </c>
      <c r="G16" s="289">
        <f>(G9*(G11/12))*(G12/2000)</f>
        <v>23898.105</v>
      </c>
      <c r="H16" s="267" t="s">
        <v>181</v>
      </c>
    </row>
    <row r="18" spans="4:9" x14ac:dyDescent="0.25">
      <c r="F18" s="151" t="s">
        <v>180</v>
      </c>
      <c r="G18" s="288">
        <f>G16*G14</f>
        <v>1672867.3499999999</v>
      </c>
    </row>
    <row r="20" spans="4:9" x14ac:dyDescent="0.25">
      <c r="D20" s="290" t="s">
        <v>183</v>
      </c>
      <c r="E20" s="290"/>
      <c r="F20" s="290"/>
      <c r="G20" s="290"/>
      <c r="H20" s="290"/>
      <c r="I20" s="290"/>
    </row>
    <row r="22" spans="4:9" x14ac:dyDescent="0.25">
      <c r="F22" s="151" t="s">
        <v>184</v>
      </c>
      <c r="G22" s="288">
        <v>4175287</v>
      </c>
    </row>
    <row r="23" spans="4:9" x14ac:dyDescent="0.25">
      <c r="F23" s="151" t="s">
        <v>180</v>
      </c>
      <c r="G23" s="288">
        <v>1737650</v>
      </c>
    </row>
    <row r="25" spans="4:9" x14ac:dyDescent="0.25">
      <c r="F25" s="151" t="s">
        <v>185</v>
      </c>
      <c r="G25" s="152">
        <f>G22/G23</f>
        <v>2.4028354386671653</v>
      </c>
    </row>
    <row r="27" spans="4:9" x14ac:dyDescent="0.25">
      <c r="D27" s="290" t="s">
        <v>186</v>
      </c>
    </row>
    <row r="29" spans="4:9" x14ac:dyDescent="0.25">
      <c r="F29" s="151" t="s">
        <v>184</v>
      </c>
      <c r="G29" s="288">
        <v>5056832.5</v>
      </c>
    </row>
    <row r="30" spans="4:9" x14ac:dyDescent="0.25">
      <c r="F30" s="151" t="s">
        <v>180</v>
      </c>
      <c r="G30" s="288">
        <v>1580275</v>
      </c>
    </row>
    <row r="32" spans="4:9" x14ac:dyDescent="0.25">
      <c r="F32" s="151" t="s">
        <v>185</v>
      </c>
      <c r="G32" s="152">
        <f>G29/G30</f>
        <v>3.199969941940485</v>
      </c>
    </row>
    <row r="34" spans="4:7" x14ac:dyDescent="0.25">
      <c r="D34" s="290" t="s">
        <v>223</v>
      </c>
    </row>
    <row r="36" spans="4:7" x14ac:dyDescent="0.25">
      <c r="F36" s="151" t="s">
        <v>184</v>
      </c>
      <c r="G36" s="288">
        <v>4059045.68</v>
      </c>
    </row>
    <row r="37" spans="4:7" x14ac:dyDescent="0.25">
      <c r="F37" s="151" t="s">
        <v>180</v>
      </c>
      <c r="G37" s="288">
        <v>1445375</v>
      </c>
    </row>
    <row r="39" spans="4:7" x14ac:dyDescent="0.25">
      <c r="F39" s="151" t="s">
        <v>185</v>
      </c>
      <c r="G39" s="152">
        <f>G36/G37</f>
        <v>2.8082993548387098</v>
      </c>
    </row>
    <row r="42" spans="4:7" x14ac:dyDescent="0.25">
      <c r="F42" s="151" t="s">
        <v>187</v>
      </c>
      <c r="G42" s="152">
        <f>AVERAGE(G25,G32,G39)</f>
        <v>2.8037015784821198</v>
      </c>
    </row>
    <row r="44" spans="4:7" x14ac:dyDescent="0.25">
      <c r="F44" s="151" t="s">
        <v>188</v>
      </c>
      <c r="G44" s="291">
        <f>G18*G42</f>
        <v>4690220.8297862001</v>
      </c>
    </row>
    <row r="45" spans="4:7" x14ac:dyDescent="0.25">
      <c r="F45" s="151" t="s">
        <v>189</v>
      </c>
      <c r="G45" s="291">
        <f>ROUNDUP(G44,-6)</f>
        <v>5000000</v>
      </c>
    </row>
  </sheetData>
  <pageMargins left="0.7" right="0.7" top="0.75" bottom="0.75" header="0.3" footer="0.3"/>
  <pageSetup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view="pageBreakPreview" zoomScale="60" zoomScaleNormal="100" workbookViewId="0">
      <selection activeCell="D33" sqref="D33"/>
    </sheetView>
  </sheetViews>
  <sheetFormatPr defaultRowHeight="15" x14ac:dyDescent="0.25"/>
  <cols>
    <col min="1" max="1" width="13.140625" customWidth="1"/>
    <col min="2" max="2" width="35.140625" customWidth="1"/>
    <col min="3" max="3" width="16" customWidth="1"/>
  </cols>
  <sheetData>
    <row r="1" spans="1:5" x14ac:dyDescent="0.25">
      <c r="A1" t="s">
        <v>30</v>
      </c>
      <c r="C1" s="55"/>
    </row>
    <row r="2" spans="1:5" ht="15.75" thickBot="1" x14ac:dyDescent="0.3"/>
    <row r="3" spans="1:5" ht="18" thickBot="1" x14ac:dyDescent="0.3">
      <c r="A3" s="56" t="s">
        <v>26</v>
      </c>
      <c r="B3" s="57" t="s">
        <v>27</v>
      </c>
      <c r="C3" s="4"/>
    </row>
    <row r="4" spans="1:5" x14ac:dyDescent="0.25">
      <c r="A4" s="36">
        <v>2009</v>
      </c>
      <c r="B4" s="50">
        <v>1.1342000000000001</v>
      </c>
      <c r="C4" s="4"/>
    </row>
    <row r="5" spans="1:5" x14ac:dyDescent="0.25">
      <c r="A5" s="5">
        <v>2010</v>
      </c>
      <c r="B5" s="51">
        <v>1.1205000000000001</v>
      </c>
      <c r="C5" s="4"/>
    </row>
    <row r="6" spans="1:5" x14ac:dyDescent="0.25">
      <c r="A6" s="5">
        <v>2011</v>
      </c>
      <c r="B6" s="51">
        <v>1.0979000000000001</v>
      </c>
      <c r="C6" s="4"/>
    </row>
    <row r="7" spans="1:5" x14ac:dyDescent="0.25">
      <c r="A7" s="5">
        <v>2012</v>
      </c>
      <c r="B7" s="52">
        <v>1.0780000000000001</v>
      </c>
      <c r="C7" s="4"/>
    </row>
    <row r="8" spans="1:5" x14ac:dyDescent="0.25">
      <c r="A8" s="5">
        <v>2013</v>
      </c>
      <c r="B8" s="52">
        <v>1.0609</v>
      </c>
    </row>
    <row r="9" spans="1:5" x14ac:dyDescent="0.25">
      <c r="A9" s="5">
        <v>2014</v>
      </c>
      <c r="B9" s="52">
        <v>1.0422</v>
      </c>
    </row>
    <row r="10" spans="1:5" x14ac:dyDescent="0.25">
      <c r="A10" s="5">
        <v>2015</v>
      </c>
      <c r="B10" s="53">
        <v>1.0309999999999999</v>
      </c>
    </row>
    <row r="11" spans="1:5" x14ac:dyDescent="0.25">
      <c r="A11" s="5">
        <v>2016</v>
      </c>
      <c r="B11" s="52">
        <v>1.018</v>
      </c>
    </row>
    <row r="12" spans="1:5" ht="15.75" thickBot="1" x14ac:dyDescent="0.3">
      <c r="A12" s="6">
        <v>2017</v>
      </c>
      <c r="B12" s="54">
        <v>1</v>
      </c>
    </row>
    <row r="13" spans="1:5" x14ac:dyDescent="0.25">
      <c r="A13" s="543" t="s">
        <v>190</v>
      </c>
      <c r="B13" s="544"/>
      <c r="C13" s="33"/>
      <c r="D13" s="33"/>
      <c r="E13" s="33"/>
    </row>
    <row r="14" spans="1:5" x14ac:dyDescent="0.25">
      <c r="A14" s="545"/>
      <c r="B14" s="545"/>
      <c r="C14" s="33"/>
      <c r="D14" s="33"/>
      <c r="E14" s="33"/>
    </row>
    <row r="15" spans="1:5" x14ac:dyDescent="0.25">
      <c r="A15" s="545"/>
      <c r="B15" s="545"/>
      <c r="C15" s="34"/>
      <c r="D15" s="34"/>
      <c r="E15" s="34"/>
    </row>
    <row r="16" spans="1:5" x14ac:dyDescent="0.25">
      <c r="A16" s="34"/>
      <c r="B16" s="34"/>
      <c r="C16" s="34"/>
      <c r="D16" s="34"/>
      <c r="E16" s="34"/>
    </row>
  </sheetData>
  <mergeCells count="1">
    <mergeCell ref="A13:B1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4AFFD-0992-4F46-9DAB-8359E3440007}">
  <sheetPr>
    <pageSetUpPr fitToPage="1"/>
  </sheetPr>
  <dimension ref="A1:Y67"/>
  <sheetViews>
    <sheetView view="pageBreakPreview" topLeftCell="L1" zoomScale="55" zoomScaleNormal="90" zoomScaleSheetLayoutView="55" workbookViewId="0">
      <selection activeCell="T1" sqref="T1:AN1048576"/>
    </sheetView>
  </sheetViews>
  <sheetFormatPr defaultRowHeight="15" x14ac:dyDescent="0.25"/>
  <cols>
    <col min="1" max="19" width="15.7109375" style="216" customWidth="1"/>
    <col min="20" max="20" width="16.140625" style="216" customWidth="1"/>
    <col min="21" max="21" width="16.85546875" style="216" customWidth="1"/>
    <col min="22" max="22" width="15" style="216" customWidth="1"/>
    <col min="23" max="23" width="34.5703125" style="216" customWidth="1"/>
    <col min="24" max="16384" width="9.140625" style="216"/>
  </cols>
  <sheetData>
    <row r="1" spans="1:23" ht="15.75" x14ac:dyDescent="0.25">
      <c r="A1" s="12" t="s">
        <v>122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23" ht="15.75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23" ht="15.75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</row>
    <row r="4" spans="1:23" ht="16.5" thickBo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23" ht="60.75" customHeight="1" x14ac:dyDescent="0.25">
      <c r="A5" s="546" t="s">
        <v>0</v>
      </c>
      <c r="B5" s="546" t="s">
        <v>1</v>
      </c>
      <c r="C5" s="546" t="s">
        <v>114</v>
      </c>
      <c r="D5" s="546" t="s">
        <v>317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23" ht="16.5" customHeight="1" x14ac:dyDescent="0.25">
      <c r="A6" s="547"/>
      <c r="B6" s="547"/>
      <c r="C6" s="547"/>
      <c r="D6" s="547"/>
      <c r="E6" s="205"/>
      <c r="H6" s="558" t="s">
        <v>123</v>
      </c>
      <c r="I6" s="558"/>
      <c r="J6" s="558" t="s">
        <v>124</v>
      </c>
      <c r="K6" s="558"/>
      <c r="L6" s="558" t="s">
        <v>125</v>
      </c>
      <c r="M6" s="558"/>
      <c r="N6" s="558" t="s">
        <v>126</v>
      </c>
      <c r="O6" s="558"/>
      <c r="P6" s="205"/>
      <c r="Q6" s="205"/>
      <c r="R6" s="205"/>
      <c r="S6" s="205"/>
    </row>
    <row r="7" spans="1:23" ht="15.75" thickBot="1" x14ac:dyDescent="0.3">
      <c r="A7" s="548"/>
      <c r="B7" s="548"/>
      <c r="C7" s="548"/>
      <c r="D7" s="548"/>
      <c r="E7" s="205"/>
      <c r="H7" s="217" t="s">
        <v>127</v>
      </c>
      <c r="I7" s="217" t="s">
        <v>128</v>
      </c>
      <c r="J7" s="217" t="s">
        <v>127</v>
      </c>
      <c r="K7" s="217" t="s">
        <v>128</v>
      </c>
      <c r="L7" s="217" t="s">
        <v>129</v>
      </c>
      <c r="M7" s="217" t="s">
        <v>130</v>
      </c>
      <c r="N7" s="217" t="s">
        <v>129</v>
      </c>
      <c r="O7" s="217" t="s">
        <v>130</v>
      </c>
      <c r="P7" s="205"/>
      <c r="Q7" s="205"/>
      <c r="R7" s="205"/>
      <c r="S7" s="205"/>
    </row>
    <row r="8" spans="1:23" ht="15" customHeight="1" x14ac:dyDescent="0.25">
      <c r="A8" s="392">
        <v>2014</v>
      </c>
      <c r="B8" s="393"/>
      <c r="C8" s="394"/>
      <c r="D8" s="395"/>
      <c r="E8" s="211"/>
      <c r="G8" s="228" t="s">
        <v>131</v>
      </c>
      <c r="H8" s="218">
        <v>1789.4293059459878</v>
      </c>
      <c r="I8" s="219">
        <v>1052.0266259581083</v>
      </c>
      <c r="J8" s="219">
        <v>1371.2909255806217</v>
      </c>
      <c r="K8" s="251">
        <v>1153.8352843835362</v>
      </c>
      <c r="L8" s="229">
        <v>737.40267998787954</v>
      </c>
      <c r="M8" s="239">
        <v>217.45564119708547</v>
      </c>
      <c r="N8" s="241">
        <v>0.41208818785833462</v>
      </c>
      <c r="O8" s="220">
        <v>0.15857732093210786</v>
      </c>
      <c r="P8" s="9"/>
      <c r="Q8" s="9"/>
      <c r="R8" s="9"/>
      <c r="S8" s="9"/>
    </row>
    <row r="9" spans="1:23" ht="15" customHeight="1" x14ac:dyDescent="0.25">
      <c r="A9" s="396">
        <v>2015</v>
      </c>
      <c r="B9" s="397"/>
      <c r="C9" s="398"/>
      <c r="D9" s="399"/>
      <c r="E9" s="211"/>
      <c r="G9" s="228" t="s">
        <v>132</v>
      </c>
      <c r="H9" s="247">
        <v>59142.593317000006</v>
      </c>
      <c r="I9" s="248">
        <v>59375.827990000005</v>
      </c>
      <c r="J9" s="248">
        <v>66498.928780999995</v>
      </c>
      <c r="K9" s="252">
        <v>66472.779218999989</v>
      </c>
      <c r="L9" s="230">
        <v>-233.23467299999902</v>
      </c>
      <c r="M9" s="240">
        <v>26.149562000005972</v>
      </c>
      <c r="N9" s="242">
        <v>-3.943599019236071E-3</v>
      </c>
      <c r="O9" s="223">
        <v>3.9323283065391873E-4</v>
      </c>
      <c r="P9" s="9"/>
      <c r="Q9" s="9"/>
      <c r="R9" s="9"/>
      <c r="S9" s="9"/>
    </row>
    <row r="10" spans="1:23" ht="15" customHeight="1" x14ac:dyDescent="0.25">
      <c r="A10" s="400">
        <v>2016</v>
      </c>
      <c r="B10" s="401"/>
      <c r="C10" s="402"/>
      <c r="D10" s="403"/>
      <c r="E10" s="211"/>
      <c r="F10" s="559" t="s">
        <v>40</v>
      </c>
      <c r="G10" s="228" t="s">
        <v>133</v>
      </c>
      <c r="H10" s="249">
        <v>14.802460894897765</v>
      </c>
      <c r="I10" s="250">
        <v>10.201600934706722</v>
      </c>
      <c r="J10" s="250">
        <v>10.133813951886868</v>
      </c>
      <c r="K10" s="259">
        <v>9.7215542974961195</v>
      </c>
      <c r="L10" s="253">
        <v>4.6008599601910429</v>
      </c>
      <c r="M10" s="254">
        <v>0.41225965439074841</v>
      </c>
      <c r="N10" s="255">
        <v>0.31081723457056426</v>
      </c>
      <c r="O10" s="256">
        <v>4.0681589019501155E-2</v>
      </c>
      <c r="P10" s="9"/>
      <c r="Q10" s="9"/>
      <c r="R10" s="9"/>
      <c r="S10" s="9"/>
      <c r="V10" s="9"/>
      <c r="W10" s="9"/>
    </row>
    <row r="11" spans="1:23" ht="15" customHeight="1" x14ac:dyDescent="0.25">
      <c r="A11" s="396">
        <f t="shared" ref="A11:A51" si="0">1+A10:A10</f>
        <v>2017</v>
      </c>
      <c r="B11" s="404"/>
      <c r="C11" s="405"/>
      <c r="D11" s="399"/>
      <c r="E11" s="211"/>
      <c r="F11" s="559"/>
      <c r="G11" s="228" t="s">
        <v>134</v>
      </c>
      <c r="H11" s="221">
        <v>18.265080293892364</v>
      </c>
      <c r="I11" s="222">
        <v>9.716287315554176</v>
      </c>
      <c r="J11" s="222">
        <v>13.125223435213655</v>
      </c>
      <c r="K11" s="260">
        <v>9.9223366390310002</v>
      </c>
      <c r="L11" s="230">
        <v>8.548792978338188</v>
      </c>
      <c r="M11" s="240">
        <v>3.2028867961826553</v>
      </c>
      <c r="N11" s="242">
        <v>0.46804026266431514</v>
      </c>
      <c r="O11" s="223">
        <v>0.24402531598735544</v>
      </c>
      <c r="P11" s="9"/>
      <c r="Q11" s="9"/>
      <c r="R11" s="9"/>
      <c r="S11" s="9"/>
      <c r="W11" s="9"/>
    </row>
    <row r="12" spans="1:23" ht="15" customHeight="1" x14ac:dyDescent="0.25">
      <c r="A12" s="396">
        <f t="shared" si="0"/>
        <v>2018</v>
      </c>
      <c r="B12" s="404"/>
      <c r="C12" s="405"/>
      <c r="D12" s="399"/>
      <c r="E12" s="211"/>
      <c r="F12" s="559" t="s">
        <v>135</v>
      </c>
      <c r="G12" s="243" t="s">
        <v>136</v>
      </c>
      <c r="H12" s="245">
        <v>1326.8438798070738</v>
      </c>
      <c r="I12" s="246">
        <v>1125.3118074302902</v>
      </c>
      <c r="J12" s="246">
        <v>1311.687954014852</v>
      </c>
      <c r="K12" s="261">
        <v>1278.4516523290099</v>
      </c>
      <c r="L12" s="229">
        <v>201.53207237678362</v>
      </c>
      <c r="M12" s="239">
        <v>33.236301685842136</v>
      </c>
      <c r="N12" s="241">
        <v>0.15188830837135628</v>
      </c>
      <c r="O12" s="220">
        <v>2.5338573541147123E-2</v>
      </c>
      <c r="P12" s="9"/>
      <c r="Q12" s="9"/>
      <c r="R12" s="9"/>
      <c r="S12" s="9"/>
    </row>
    <row r="13" spans="1:23" ht="15" customHeight="1" x14ac:dyDescent="0.25">
      <c r="A13" s="396">
        <f t="shared" si="0"/>
        <v>2019</v>
      </c>
      <c r="B13" s="397"/>
      <c r="C13" s="398"/>
      <c r="D13" s="406"/>
      <c r="E13" s="212"/>
      <c r="F13" s="559"/>
      <c r="G13" s="244" t="s">
        <v>137</v>
      </c>
      <c r="H13" s="247">
        <v>450.31231893578189</v>
      </c>
      <c r="I13" s="248">
        <v>372.70645864359301</v>
      </c>
      <c r="J13" s="248">
        <v>449.5529918881025</v>
      </c>
      <c r="K13" s="252">
        <v>422.04431541735198</v>
      </c>
      <c r="L13" s="230">
        <v>77.605860292188879</v>
      </c>
      <c r="M13" s="240">
        <v>27.508676470750515</v>
      </c>
      <c r="N13" s="242">
        <v>0.17233785759091369</v>
      </c>
      <c r="O13" s="223">
        <v>6.1191176495601338E-2</v>
      </c>
      <c r="P13" s="206"/>
      <c r="Q13" s="206"/>
      <c r="R13" s="206"/>
      <c r="S13" s="206"/>
    </row>
    <row r="14" spans="1:23" ht="15" customHeight="1" x14ac:dyDescent="0.25">
      <c r="A14" s="396">
        <f t="shared" si="0"/>
        <v>2020</v>
      </c>
      <c r="B14" s="397"/>
      <c r="C14" s="398"/>
      <c r="D14" s="406"/>
      <c r="E14" s="212"/>
      <c r="F14" s="559" t="s">
        <v>138</v>
      </c>
      <c r="G14" s="243" t="s">
        <v>136</v>
      </c>
      <c r="H14" s="224">
        <v>3632.603688716255</v>
      </c>
      <c r="I14" s="225">
        <v>3080.8536594535944</v>
      </c>
      <c r="J14" s="225">
        <v>3591.1101318806614</v>
      </c>
      <c r="K14" s="262">
        <v>3500.1165237096448</v>
      </c>
      <c r="L14" s="229">
        <v>551.75002926266052</v>
      </c>
      <c r="M14" s="239">
        <v>90.993608171016604</v>
      </c>
      <c r="N14" s="241">
        <v>0.1518883083713562</v>
      </c>
      <c r="O14" s="220">
        <v>2.5338573541147102E-2</v>
      </c>
      <c r="P14" s="206"/>
      <c r="Q14" s="206"/>
      <c r="R14" s="206"/>
      <c r="S14" s="206"/>
    </row>
    <row r="15" spans="1:23" ht="15" customHeight="1" x14ac:dyDescent="0.25">
      <c r="A15" s="396">
        <f t="shared" si="0"/>
        <v>2021</v>
      </c>
      <c r="B15" s="404">
        <v>1</v>
      </c>
      <c r="C15" s="398"/>
      <c r="D15" s="406"/>
      <c r="E15" s="212"/>
      <c r="F15" s="559"/>
      <c r="G15" s="244" t="s">
        <v>137</v>
      </c>
      <c r="H15" s="226">
        <v>1391.4650655115661</v>
      </c>
      <c r="I15" s="227">
        <v>1151.6629572087024</v>
      </c>
      <c r="J15" s="227">
        <v>1389.1187449342367</v>
      </c>
      <c r="K15" s="263">
        <v>1304.1169346396175</v>
      </c>
      <c r="L15" s="230">
        <v>239.80210830286364</v>
      </c>
      <c r="M15" s="240">
        <v>85.00181029461919</v>
      </c>
      <c r="N15" s="242">
        <v>0.17233785759091366</v>
      </c>
      <c r="O15" s="223">
        <v>6.1191176495601407E-2</v>
      </c>
      <c r="P15" s="206"/>
      <c r="Q15" s="206"/>
      <c r="R15" s="206"/>
      <c r="S15" s="206"/>
    </row>
    <row r="16" spans="1:23" ht="15" customHeight="1" x14ac:dyDescent="0.25">
      <c r="A16" s="396">
        <f t="shared" si="0"/>
        <v>2022</v>
      </c>
      <c r="B16" s="404">
        <f>B15+1</f>
        <v>2</v>
      </c>
      <c r="C16" s="398"/>
      <c r="D16" s="406"/>
      <c r="E16" s="212"/>
      <c r="F16" s="257"/>
      <c r="G16" s="235"/>
      <c r="H16" s="236"/>
      <c r="I16" s="236"/>
      <c r="J16" s="236"/>
      <c r="K16" s="236"/>
      <c r="L16" s="237"/>
      <c r="M16" s="237"/>
      <c r="N16" s="238"/>
      <c r="O16" s="238"/>
      <c r="P16" s="206"/>
      <c r="Q16" s="206"/>
      <c r="R16" s="206"/>
      <c r="S16" s="206"/>
    </row>
    <row r="17" spans="1:19" ht="15" customHeight="1" x14ac:dyDescent="0.25">
      <c r="A17" s="396">
        <f t="shared" si="0"/>
        <v>2023</v>
      </c>
      <c r="B17" s="404">
        <f t="shared" ref="B17:B47" si="1">B16+1</f>
        <v>3</v>
      </c>
      <c r="C17" s="398"/>
      <c r="D17" s="406"/>
      <c r="E17" s="212"/>
      <c r="F17" s="258"/>
      <c r="G17" s="231" t="s">
        <v>139</v>
      </c>
      <c r="H17" s="232"/>
      <c r="I17" s="232"/>
      <c r="J17" s="232"/>
      <c r="K17" s="232"/>
      <c r="L17" s="233"/>
      <c r="M17" s="233"/>
      <c r="N17" s="234"/>
      <c r="O17" s="234"/>
      <c r="P17" s="206"/>
      <c r="Q17" s="206"/>
      <c r="R17" s="206"/>
      <c r="S17" s="206"/>
    </row>
    <row r="18" spans="1:19" ht="15" customHeight="1" x14ac:dyDescent="0.25">
      <c r="A18" s="396">
        <f t="shared" si="0"/>
        <v>2024</v>
      </c>
      <c r="B18" s="404">
        <f t="shared" si="1"/>
        <v>4</v>
      </c>
      <c r="C18" s="398"/>
      <c r="D18" s="406"/>
      <c r="E18" s="212"/>
      <c r="F18" s="258"/>
      <c r="H18" s="264" t="s">
        <v>140</v>
      </c>
      <c r="I18" s="265">
        <f>L14</f>
        <v>551.75002926266052</v>
      </c>
      <c r="J18" s="232" t="s">
        <v>141</v>
      </c>
      <c r="K18" s="265">
        <f>M14</f>
        <v>90.993608171016604</v>
      </c>
      <c r="L18" s="232" t="s">
        <v>141</v>
      </c>
      <c r="M18" s="265">
        <f>L15</f>
        <v>239.80210830286364</v>
      </c>
      <c r="N18" s="232" t="s">
        <v>141</v>
      </c>
      <c r="O18" s="265">
        <f>M15</f>
        <v>85.00181029461919</v>
      </c>
      <c r="P18" s="206"/>
      <c r="Q18" s="206"/>
      <c r="R18" s="206"/>
      <c r="S18" s="206"/>
    </row>
    <row r="19" spans="1:19" ht="15" customHeight="1" x14ac:dyDescent="0.25">
      <c r="A19" s="396">
        <f t="shared" si="0"/>
        <v>2025</v>
      </c>
      <c r="B19" s="404">
        <f t="shared" si="1"/>
        <v>5</v>
      </c>
      <c r="C19" s="398"/>
      <c r="D19" s="406"/>
      <c r="E19" s="212"/>
      <c r="F19" s="258"/>
      <c r="G19" s="231"/>
      <c r="H19" s="264" t="s">
        <v>140</v>
      </c>
      <c r="I19" s="265">
        <f>I18+K18+M18+O18</f>
        <v>967.54755603115996</v>
      </c>
      <c r="J19" s="232"/>
      <c r="K19" s="232"/>
      <c r="L19" s="233"/>
      <c r="M19" s="233"/>
      <c r="N19" s="234"/>
      <c r="O19" s="234"/>
      <c r="P19" s="206"/>
      <c r="Q19" s="206"/>
      <c r="R19" s="206"/>
      <c r="S19" s="206"/>
    </row>
    <row r="20" spans="1:19" ht="15" customHeight="1" x14ac:dyDescent="0.25">
      <c r="A20" s="396">
        <f t="shared" si="0"/>
        <v>2026</v>
      </c>
      <c r="B20" s="404">
        <f t="shared" si="1"/>
        <v>6</v>
      </c>
      <c r="C20" s="398"/>
      <c r="D20" s="406"/>
      <c r="E20" s="212"/>
      <c r="F20" s="258"/>
      <c r="G20" s="231"/>
      <c r="H20" s="232"/>
      <c r="I20" s="232"/>
      <c r="J20" s="232"/>
      <c r="K20" s="232"/>
      <c r="L20" s="233"/>
      <c r="M20" s="233"/>
      <c r="N20" s="234"/>
      <c r="O20" s="234"/>
      <c r="P20" s="206"/>
      <c r="Q20" s="206"/>
      <c r="R20" s="206"/>
      <c r="S20" s="206"/>
    </row>
    <row r="21" spans="1:19" ht="15" customHeight="1" x14ac:dyDescent="0.25">
      <c r="A21" s="396">
        <f t="shared" si="0"/>
        <v>2027</v>
      </c>
      <c r="B21" s="404">
        <f t="shared" si="1"/>
        <v>7</v>
      </c>
      <c r="C21" s="391">
        <f t="shared" ref="C21:C27" si="2">($C$29+$I$28)^(B21-$B$29)</f>
        <v>0.94197540064698659</v>
      </c>
      <c r="D21" s="407">
        <f t="shared" ref="D21:D27" si="3">$D$29*C21</f>
        <v>227851.49918436614</v>
      </c>
      <c r="E21" s="213"/>
      <c r="F21" s="207"/>
      <c r="G21" s="207"/>
      <c r="H21" s="207"/>
      <c r="I21" s="217">
        <v>5</v>
      </c>
      <c r="J21" s="155" t="s">
        <v>83</v>
      </c>
      <c r="O21" s="207"/>
      <c r="P21" s="207"/>
      <c r="Q21" s="207"/>
      <c r="R21" s="207"/>
      <c r="S21" s="207"/>
    </row>
    <row r="22" spans="1:19" ht="15" customHeight="1" x14ac:dyDescent="0.25">
      <c r="A22" s="396">
        <f t="shared" si="0"/>
        <v>2028</v>
      </c>
      <c r="B22" s="404">
        <f t="shared" si="1"/>
        <v>8</v>
      </c>
      <c r="C22" s="391">
        <f t="shared" si="2"/>
        <v>0.94904021615183898</v>
      </c>
      <c r="D22" s="407">
        <f t="shared" si="3"/>
        <v>229560.3854282489</v>
      </c>
      <c r="E22" s="213"/>
      <c r="F22" s="207"/>
      <c r="G22" s="207"/>
      <c r="H22" s="207"/>
      <c r="I22" s="157">
        <v>50</v>
      </c>
      <c r="J22" s="155" t="s">
        <v>84</v>
      </c>
      <c r="O22" s="207"/>
      <c r="P22" s="207"/>
      <c r="Q22" s="207"/>
      <c r="R22" s="207"/>
      <c r="S22" s="207"/>
    </row>
    <row r="23" spans="1:19" ht="15" customHeight="1" x14ac:dyDescent="0.25">
      <c r="A23" s="396">
        <f t="shared" si="0"/>
        <v>2029</v>
      </c>
      <c r="B23" s="404">
        <f t="shared" si="1"/>
        <v>9</v>
      </c>
      <c r="C23" s="391">
        <f t="shared" si="2"/>
        <v>0.95615801777297793</v>
      </c>
      <c r="D23" s="407">
        <f t="shared" si="3"/>
        <v>231282.0883189608</v>
      </c>
      <c r="E23" s="213"/>
      <c r="F23" s="207"/>
      <c r="G23" s="207"/>
      <c r="H23" s="207"/>
      <c r="I23" s="217">
        <f>I22*I21</f>
        <v>250</v>
      </c>
      <c r="J23" s="155" t="s">
        <v>85</v>
      </c>
      <c r="O23" s="207"/>
      <c r="P23" s="207"/>
      <c r="Q23" s="207"/>
      <c r="R23" s="207"/>
      <c r="S23" s="207"/>
    </row>
    <row r="24" spans="1:19" ht="15" customHeight="1" x14ac:dyDescent="0.25">
      <c r="A24" s="396">
        <f t="shared" si="0"/>
        <v>2030</v>
      </c>
      <c r="B24" s="404">
        <f t="shared" si="1"/>
        <v>10</v>
      </c>
      <c r="C24" s="391">
        <f t="shared" si="2"/>
        <v>0.96332920290627555</v>
      </c>
      <c r="D24" s="407">
        <f t="shared" si="3"/>
        <v>233016.70398135306</v>
      </c>
      <c r="E24" s="213"/>
      <c r="F24" s="207"/>
      <c r="G24" s="207"/>
      <c r="H24" s="207"/>
      <c r="I24" s="217"/>
      <c r="J24" s="155"/>
      <c r="O24" s="207"/>
      <c r="P24" s="207"/>
      <c r="Q24" s="207"/>
      <c r="R24" s="207"/>
      <c r="S24" s="207"/>
    </row>
    <row r="25" spans="1:19" ht="15" customHeight="1" x14ac:dyDescent="0.25">
      <c r="A25" s="396">
        <f t="shared" si="0"/>
        <v>2031</v>
      </c>
      <c r="B25" s="404">
        <f t="shared" si="1"/>
        <v>11</v>
      </c>
      <c r="C25" s="391">
        <f t="shared" si="2"/>
        <v>0.97055417192807258</v>
      </c>
      <c r="D25" s="407">
        <f t="shared" si="3"/>
        <v>234764.32926121322</v>
      </c>
      <c r="E25" s="213"/>
      <c r="F25" s="207"/>
      <c r="G25" s="207"/>
      <c r="H25" s="207"/>
      <c r="I25" s="265">
        <f>I23*I19</f>
        <v>241886.88900778999</v>
      </c>
      <c r="J25" s="155" t="s">
        <v>142</v>
      </c>
      <c r="O25" s="207"/>
      <c r="P25" s="207"/>
      <c r="Q25" s="207"/>
      <c r="R25" s="207"/>
      <c r="S25" s="207"/>
    </row>
    <row r="26" spans="1:19" ht="15" customHeight="1" x14ac:dyDescent="0.25">
      <c r="A26" s="396">
        <f t="shared" si="0"/>
        <v>2032</v>
      </c>
      <c r="B26" s="404">
        <f t="shared" si="1"/>
        <v>12</v>
      </c>
      <c r="C26" s="391">
        <f t="shared" si="2"/>
        <v>0.97783332821753322</v>
      </c>
      <c r="D26" s="407">
        <f t="shared" si="3"/>
        <v>236525.06173067234</v>
      </c>
      <c r="E26" s="213"/>
      <c r="F26" s="207"/>
      <c r="G26" s="207"/>
      <c r="H26" s="207"/>
      <c r="I26" s="217"/>
      <c r="J26" s="155" t="s">
        <v>143</v>
      </c>
      <c r="O26" s="207"/>
      <c r="P26" s="207"/>
      <c r="Q26" s="207"/>
      <c r="R26" s="207"/>
      <c r="S26" s="207"/>
    </row>
    <row r="27" spans="1:19" ht="15" customHeight="1" x14ac:dyDescent="0.25">
      <c r="A27" s="396">
        <f t="shared" si="0"/>
        <v>2033</v>
      </c>
      <c r="B27" s="404">
        <f t="shared" si="1"/>
        <v>13</v>
      </c>
      <c r="C27" s="391">
        <f t="shared" si="2"/>
        <v>0.98516707817916471</v>
      </c>
      <c r="D27" s="407">
        <f t="shared" si="3"/>
        <v>238298.99969365238</v>
      </c>
      <c r="E27" s="214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</row>
    <row r="28" spans="1:19" ht="15" customHeight="1" thickBot="1" x14ac:dyDescent="0.3">
      <c r="A28" s="396">
        <f t="shared" si="0"/>
        <v>2034</v>
      </c>
      <c r="B28" s="404">
        <f t="shared" si="1"/>
        <v>14</v>
      </c>
      <c r="C28" s="391">
        <f>($C$29+$I$28)^(B28-$B$29)</f>
        <v>0.99255583126550861</v>
      </c>
      <c r="D28" s="407">
        <f>$D$29*C28</f>
        <v>240086.2421913548</v>
      </c>
      <c r="E28" s="214"/>
      <c r="F28" s="208"/>
      <c r="G28" s="191" t="s">
        <v>36</v>
      </c>
      <c r="H28" s="190" t="s">
        <v>112</v>
      </c>
      <c r="I28" s="189">
        <v>7.4999999999999997E-3</v>
      </c>
      <c r="J28" s="216" t="s">
        <v>113</v>
      </c>
      <c r="L28" s="208"/>
      <c r="M28" s="208"/>
      <c r="N28" s="208"/>
      <c r="O28" s="208"/>
      <c r="P28" s="208"/>
      <c r="Q28" s="208"/>
      <c r="R28" s="208"/>
      <c r="S28" s="208"/>
    </row>
    <row r="29" spans="1:19" ht="15" customHeight="1" thickBot="1" x14ac:dyDescent="0.3">
      <c r="A29" s="396">
        <f t="shared" si="0"/>
        <v>2035</v>
      </c>
      <c r="B29" s="404">
        <f t="shared" si="1"/>
        <v>15</v>
      </c>
      <c r="C29" s="391">
        <v>1</v>
      </c>
      <c r="D29" s="408">
        <f>I25</f>
        <v>241886.88900778999</v>
      </c>
      <c r="E29" s="215"/>
      <c r="F29" s="210"/>
      <c r="G29" s="192" t="s">
        <v>37</v>
      </c>
      <c r="H29" s="216" t="s">
        <v>222</v>
      </c>
      <c r="L29" s="210"/>
      <c r="M29" s="210"/>
      <c r="N29" s="210"/>
      <c r="O29" s="210"/>
      <c r="P29" s="210"/>
      <c r="Q29" s="210"/>
      <c r="R29" s="210"/>
      <c r="S29" s="210"/>
    </row>
    <row r="30" spans="1:19" ht="15" customHeight="1" x14ac:dyDescent="0.25">
      <c r="A30" s="396">
        <f t="shared" si="0"/>
        <v>2036</v>
      </c>
      <c r="B30" s="404">
        <f t="shared" si="1"/>
        <v>16</v>
      </c>
      <c r="C30" s="391">
        <f>($C$29+$I$28)^(B30-$B$29)</f>
        <v>1.0075000000000001</v>
      </c>
      <c r="D30" s="407">
        <f>$D$29*C30</f>
        <v>243701.04067534843</v>
      </c>
      <c r="E30" s="214"/>
      <c r="F30" s="208"/>
      <c r="G30" s="192"/>
      <c r="L30" s="208"/>
      <c r="M30" s="208"/>
      <c r="N30" s="208"/>
      <c r="O30" s="208"/>
      <c r="P30" s="208"/>
      <c r="Q30" s="208"/>
      <c r="R30" s="208"/>
      <c r="S30" s="208"/>
    </row>
    <row r="31" spans="1:19" ht="15" customHeight="1" x14ac:dyDescent="0.25">
      <c r="A31" s="396">
        <f t="shared" si="0"/>
        <v>2037</v>
      </c>
      <c r="B31" s="404">
        <f t="shared" si="1"/>
        <v>17</v>
      </c>
      <c r="C31" s="391">
        <f t="shared" ref="C31:C47" si="4">($C$29+$I$28)^(B31-$B$29)</f>
        <v>1.0150562500000002</v>
      </c>
      <c r="D31" s="407">
        <f t="shared" ref="D31:D47" si="5">$D$29*C31</f>
        <v>245528.79848041356</v>
      </c>
      <c r="E31" s="214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</row>
    <row r="32" spans="1:19" ht="15" customHeight="1" x14ac:dyDescent="0.25">
      <c r="A32" s="396">
        <f t="shared" si="0"/>
        <v>2038</v>
      </c>
      <c r="B32" s="404">
        <f t="shared" si="1"/>
        <v>18</v>
      </c>
      <c r="C32" s="391">
        <f t="shared" si="4"/>
        <v>1.0226691718750003</v>
      </c>
      <c r="D32" s="407">
        <f t="shared" si="5"/>
        <v>247370.26446901669</v>
      </c>
      <c r="E32" s="214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</row>
    <row r="33" spans="1:25" ht="15" customHeight="1" x14ac:dyDescent="0.25">
      <c r="A33" s="396">
        <f t="shared" si="0"/>
        <v>2039</v>
      </c>
      <c r="B33" s="404">
        <f t="shared" si="1"/>
        <v>19</v>
      </c>
      <c r="C33" s="391">
        <f t="shared" si="4"/>
        <v>1.0303391906640629</v>
      </c>
      <c r="D33" s="407">
        <f t="shared" si="5"/>
        <v>249225.54145253435</v>
      </c>
      <c r="E33" s="214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</row>
    <row r="34" spans="1:25" ht="15" customHeight="1" x14ac:dyDescent="0.25">
      <c r="A34" s="396">
        <f t="shared" si="0"/>
        <v>2040</v>
      </c>
      <c r="B34" s="404">
        <f t="shared" si="1"/>
        <v>20</v>
      </c>
      <c r="C34" s="391">
        <f t="shared" si="4"/>
        <v>1.0380667345940433</v>
      </c>
      <c r="D34" s="407">
        <f t="shared" si="5"/>
        <v>251094.73301342834</v>
      </c>
      <c r="E34" s="214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</row>
    <row r="35" spans="1:25" ht="15" customHeight="1" x14ac:dyDescent="0.25">
      <c r="A35" s="396">
        <f t="shared" si="0"/>
        <v>2041</v>
      </c>
      <c r="B35" s="404">
        <f t="shared" si="1"/>
        <v>21</v>
      </c>
      <c r="C35" s="391">
        <f t="shared" si="4"/>
        <v>1.0458522351034989</v>
      </c>
      <c r="D35" s="407">
        <f t="shared" si="5"/>
        <v>252977.94351102912</v>
      </c>
      <c r="E35" s="214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08"/>
    </row>
    <row r="36" spans="1:25" ht="15" customHeight="1" x14ac:dyDescent="0.25">
      <c r="A36" s="396">
        <f t="shared" si="0"/>
        <v>2042</v>
      </c>
      <c r="B36" s="404">
        <f t="shared" si="1"/>
        <v>22</v>
      </c>
      <c r="C36" s="391">
        <f t="shared" si="4"/>
        <v>1.0536961268667753</v>
      </c>
      <c r="D36" s="407">
        <f t="shared" si="5"/>
        <v>254875.27808736186</v>
      </c>
      <c r="E36" s="214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  <c r="Q36" s="208"/>
      <c r="R36" s="208"/>
      <c r="S36" s="208"/>
    </row>
    <row r="37" spans="1:25" ht="15" customHeight="1" x14ac:dyDescent="0.25">
      <c r="A37" s="396">
        <f t="shared" si="0"/>
        <v>2043</v>
      </c>
      <c r="B37" s="404">
        <f t="shared" si="1"/>
        <v>23</v>
      </c>
      <c r="C37" s="391">
        <f t="shared" si="4"/>
        <v>1.0615988478182761</v>
      </c>
      <c r="D37" s="407">
        <f t="shared" si="5"/>
        <v>256786.84267301706</v>
      </c>
      <c r="E37" s="214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  <c r="R37" s="208"/>
      <c r="S37" s="208"/>
    </row>
    <row r="38" spans="1:25" ht="15" customHeight="1" x14ac:dyDescent="0.25">
      <c r="A38" s="396">
        <f t="shared" si="0"/>
        <v>2044</v>
      </c>
      <c r="B38" s="404">
        <f t="shared" si="1"/>
        <v>24</v>
      </c>
      <c r="C38" s="391">
        <f t="shared" si="4"/>
        <v>1.0695608391769131</v>
      </c>
      <c r="D38" s="407">
        <f t="shared" si="5"/>
        <v>258712.74399306471</v>
      </c>
      <c r="E38" s="214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  <c r="Q38" s="208"/>
      <c r="R38" s="208"/>
      <c r="S38" s="208"/>
    </row>
    <row r="39" spans="1:25" ht="15" customHeight="1" x14ac:dyDescent="0.25">
      <c r="A39" s="396">
        <f t="shared" si="0"/>
        <v>2045</v>
      </c>
      <c r="B39" s="404">
        <f t="shared" si="1"/>
        <v>25</v>
      </c>
      <c r="C39" s="391">
        <f t="shared" si="4"/>
        <v>1.0775825454707402</v>
      </c>
      <c r="D39" s="407">
        <f t="shared" si="5"/>
        <v>260653.08957301272</v>
      </c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</row>
    <row r="40" spans="1:25" ht="15" customHeight="1" x14ac:dyDescent="0.25">
      <c r="A40" s="396">
        <f t="shared" si="0"/>
        <v>2046</v>
      </c>
      <c r="B40" s="404">
        <f t="shared" si="1"/>
        <v>26</v>
      </c>
      <c r="C40" s="391">
        <f t="shared" si="4"/>
        <v>1.0856644145617709</v>
      </c>
      <c r="D40" s="407">
        <f t="shared" si="5"/>
        <v>262607.98774481035</v>
      </c>
      <c r="E40" s="208"/>
      <c r="F40" s="208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  <c r="R40" s="208"/>
      <c r="S40" s="208"/>
    </row>
    <row r="41" spans="1:25" ht="15" customHeight="1" x14ac:dyDescent="0.25">
      <c r="A41" s="396">
        <f t="shared" si="0"/>
        <v>2047</v>
      </c>
      <c r="B41" s="404">
        <f t="shared" si="1"/>
        <v>27</v>
      </c>
      <c r="C41" s="391">
        <f t="shared" si="4"/>
        <v>1.0938068976709843</v>
      </c>
      <c r="D41" s="407">
        <f t="shared" si="5"/>
        <v>264577.54765289649</v>
      </c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  <c r="R41" s="208"/>
      <c r="S41" s="208"/>
    </row>
    <row r="42" spans="1:25" ht="15" customHeight="1" x14ac:dyDescent="0.25">
      <c r="A42" s="396">
        <f t="shared" si="0"/>
        <v>2048</v>
      </c>
      <c r="B42" s="404">
        <f t="shared" si="1"/>
        <v>28</v>
      </c>
      <c r="C42" s="391">
        <f t="shared" si="4"/>
        <v>1.1020104494035166</v>
      </c>
      <c r="D42" s="407">
        <f t="shared" si="5"/>
        <v>266561.87926029315</v>
      </c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S42" s="208"/>
    </row>
    <row r="43" spans="1:25" ht="15" customHeight="1" x14ac:dyDescent="0.25">
      <c r="A43" s="396">
        <f t="shared" si="0"/>
        <v>2049</v>
      </c>
      <c r="B43" s="404">
        <f t="shared" si="1"/>
        <v>29</v>
      </c>
      <c r="C43" s="391">
        <f t="shared" si="4"/>
        <v>1.1102755277740433</v>
      </c>
      <c r="D43" s="407">
        <f t="shared" si="5"/>
        <v>268561.09335474548</v>
      </c>
      <c r="E43" s="208"/>
      <c r="F43" s="208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</row>
    <row r="44" spans="1:25" ht="15" customHeight="1" x14ac:dyDescent="0.25">
      <c r="A44" s="396">
        <f t="shared" si="0"/>
        <v>2050</v>
      </c>
      <c r="B44" s="404">
        <f t="shared" si="1"/>
        <v>30</v>
      </c>
      <c r="C44" s="391">
        <f t="shared" si="4"/>
        <v>1.1186025942323488</v>
      </c>
      <c r="D44" s="407">
        <f t="shared" si="5"/>
        <v>270575.30155490607</v>
      </c>
      <c r="E44" s="208"/>
      <c r="F44" s="208"/>
      <c r="G44" s="208"/>
      <c r="H44" s="208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208"/>
    </row>
    <row r="45" spans="1:25" ht="15" customHeight="1" x14ac:dyDescent="0.25">
      <c r="A45" s="396">
        <f t="shared" si="0"/>
        <v>2051</v>
      </c>
      <c r="B45" s="404">
        <f t="shared" si="1"/>
        <v>31</v>
      </c>
      <c r="C45" s="391">
        <f t="shared" si="4"/>
        <v>1.1269921136890912</v>
      </c>
      <c r="D45" s="407">
        <f t="shared" si="5"/>
        <v>272604.61631656787</v>
      </c>
      <c r="E45" s="208"/>
      <c r="F45" s="208"/>
      <c r="G45" s="208"/>
      <c r="H45" s="208"/>
      <c r="I45" s="208"/>
      <c r="J45" s="208"/>
      <c r="K45" s="208"/>
      <c r="L45" s="208"/>
      <c r="M45" s="208"/>
      <c r="N45" s="208"/>
      <c r="O45" s="208"/>
      <c r="P45" s="208"/>
      <c r="Q45" s="208"/>
      <c r="R45" s="208"/>
      <c r="S45" s="208"/>
      <c r="T45" s="94"/>
      <c r="U45" s="94"/>
      <c r="V45" s="94"/>
      <c r="W45" s="94"/>
      <c r="X45" s="94"/>
      <c r="Y45" s="94"/>
    </row>
    <row r="46" spans="1:25" ht="15" customHeight="1" x14ac:dyDescent="0.25">
      <c r="A46" s="396">
        <f t="shared" si="0"/>
        <v>2052</v>
      </c>
      <c r="B46" s="404">
        <f t="shared" si="1"/>
        <v>32</v>
      </c>
      <c r="C46" s="391">
        <f t="shared" si="4"/>
        <v>1.1354445545417595</v>
      </c>
      <c r="D46" s="407">
        <f t="shared" si="5"/>
        <v>274649.15093894216</v>
      </c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94"/>
      <c r="U46" s="94"/>
      <c r="V46" s="94"/>
      <c r="W46" s="94"/>
      <c r="X46" s="94"/>
      <c r="Y46" s="94"/>
    </row>
    <row r="47" spans="1:25" ht="15" customHeight="1" x14ac:dyDescent="0.25">
      <c r="A47" s="396">
        <f t="shared" si="0"/>
        <v>2053</v>
      </c>
      <c r="B47" s="404">
        <f t="shared" si="1"/>
        <v>33</v>
      </c>
      <c r="C47" s="391">
        <f t="shared" si="4"/>
        <v>1.1439603887008229</v>
      </c>
      <c r="D47" s="409">
        <f t="shared" si="5"/>
        <v>276709.01957098424</v>
      </c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94"/>
      <c r="U47" s="94"/>
      <c r="V47" s="94"/>
      <c r="W47" s="94"/>
      <c r="X47" s="94"/>
      <c r="Y47" s="94"/>
    </row>
    <row r="48" spans="1:25" ht="15" customHeight="1" x14ac:dyDescent="0.25">
      <c r="A48" s="396">
        <f t="shared" si="0"/>
        <v>2054</v>
      </c>
      <c r="B48" s="404">
        <f t="shared" ref="B48:B51" si="6">B47+1</f>
        <v>34</v>
      </c>
      <c r="C48" s="391">
        <f t="shared" ref="C48:C51" si="7">($C$29+$I$28)^(B48-$B$29)</f>
        <v>1.1525400916160791</v>
      </c>
      <c r="D48" s="409">
        <f t="shared" ref="D48:D51" si="8">$D$29*C48</f>
        <v>278784.33721776662</v>
      </c>
      <c r="E48" s="209"/>
      <c r="F48" s="209"/>
      <c r="G48" s="209"/>
      <c r="H48" s="209"/>
      <c r="I48" s="209"/>
      <c r="J48" s="209"/>
      <c r="K48" s="209"/>
      <c r="L48" s="209"/>
      <c r="M48" s="209"/>
      <c r="N48" s="209"/>
      <c r="O48" s="209"/>
      <c r="P48" s="209"/>
      <c r="Q48" s="209"/>
      <c r="R48" s="209"/>
      <c r="S48" s="209"/>
    </row>
    <row r="49" spans="1:4" ht="15" customHeight="1" x14ac:dyDescent="0.25">
      <c r="A49" s="396">
        <f t="shared" si="0"/>
        <v>2055</v>
      </c>
      <c r="B49" s="404">
        <f t="shared" si="6"/>
        <v>35</v>
      </c>
      <c r="C49" s="391">
        <f t="shared" si="7"/>
        <v>1.1611841423031999</v>
      </c>
      <c r="D49" s="409">
        <f t="shared" si="8"/>
        <v>280875.21974689991</v>
      </c>
    </row>
    <row r="50" spans="1:4" ht="15" customHeight="1" x14ac:dyDescent="0.25">
      <c r="A50" s="396">
        <f t="shared" si="0"/>
        <v>2056</v>
      </c>
      <c r="B50" s="404">
        <f t="shared" si="6"/>
        <v>36</v>
      </c>
      <c r="C50" s="391">
        <f t="shared" si="7"/>
        <v>1.1698930233704739</v>
      </c>
      <c r="D50" s="409">
        <f t="shared" si="8"/>
        <v>282981.78389500169</v>
      </c>
    </row>
    <row r="51" spans="1:4" ht="15" customHeight="1" thickBot="1" x14ac:dyDescent="0.3">
      <c r="A51" s="410">
        <f t="shared" si="0"/>
        <v>2057</v>
      </c>
      <c r="B51" s="412">
        <f t="shared" si="6"/>
        <v>37</v>
      </c>
      <c r="C51" s="413">
        <f t="shared" si="7"/>
        <v>1.1786672210457527</v>
      </c>
      <c r="D51" s="411">
        <f t="shared" si="8"/>
        <v>285104.14727421425</v>
      </c>
    </row>
    <row r="52" spans="1:4" ht="15" customHeight="1" thickBot="1" x14ac:dyDescent="0.3">
      <c r="D52" s="197">
        <f>SUM(D8:D51)</f>
        <v>7918790.5592538668</v>
      </c>
    </row>
    <row r="67" ht="15" customHeight="1" x14ac:dyDescent="0.25"/>
  </sheetData>
  <mergeCells count="11">
    <mergeCell ref="A5:A7"/>
    <mergeCell ref="L6:M6"/>
    <mergeCell ref="N6:O6"/>
    <mergeCell ref="H6:I6"/>
    <mergeCell ref="J6:K6"/>
    <mergeCell ref="F10:F11"/>
    <mergeCell ref="F12:F13"/>
    <mergeCell ref="F14:F15"/>
    <mergeCell ref="C5:C7"/>
    <mergeCell ref="D5:D7"/>
    <mergeCell ref="B5:B7"/>
  </mergeCells>
  <pageMargins left="0.35" right="0.2" top="0.75" bottom="0.75" header="0.3" footer="0.3"/>
  <pageSetup paperSize="133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D5764-51EB-4219-9354-E11B56D4D815}">
  <sheetPr>
    <pageSetUpPr fitToPage="1"/>
  </sheetPr>
  <dimension ref="A1:P66"/>
  <sheetViews>
    <sheetView view="pageBreakPreview" zoomScale="60" zoomScaleNormal="100" workbookViewId="0">
      <selection activeCell="O17" sqref="O17:O18"/>
    </sheetView>
  </sheetViews>
  <sheetFormatPr defaultRowHeight="15" x14ac:dyDescent="0.25"/>
  <cols>
    <col min="1" max="27" width="15.7109375" style="267" customWidth="1"/>
    <col min="28" max="16384" width="9.140625" style="267"/>
  </cols>
  <sheetData>
    <row r="1" spans="1:16" ht="16.5" thickBot="1" x14ac:dyDescent="0.3">
      <c r="A1" s="12" t="s">
        <v>224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30" customHeight="1" thickBot="1" x14ac:dyDescent="0.4">
      <c r="A2" s="575" t="s">
        <v>0</v>
      </c>
      <c r="B2" s="575" t="s">
        <v>1</v>
      </c>
      <c r="C2" s="546" t="s">
        <v>159</v>
      </c>
      <c r="D2" s="576" t="s">
        <v>160</v>
      </c>
      <c r="E2" s="576" t="s">
        <v>164</v>
      </c>
      <c r="F2" s="576" t="s">
        <v>165</v>
      </c>
      <c r="G2" s="576" t="s">
        <v>168</v>
      </c>
      <c r="H2" s="576" t="s">
        <v>323</v>
      </c>
      <c r="I2" s="576" t="s">
        <v>324</v>
      </c>
      <c r="J2" s="576"/>
      <c r="K2" s="576"/>
      <c r="L2" s="575" t="s">
        <v>161</v>
      </c>
      <c r="M2" s="13"/>
    </row>
    <row r="3" spans="1:16" ht="45" customHeight="1" thickBot="1" x14ac:dyDescent="0.3">
      <c r="A3" s="575"/>
      <c r="B3" s="575"/>
      <c r="C3" s="548"/>
      <c r="D3" s="576"/>
      <c r="E3" s="576"/>
      <c r="F3" s="576"/>
      <c r="G3" s="576"/>
      <c r="H3" s="576"/>
      <c r="I3" s="576"/>
      <c r="J3" s="576"/>
      <c r="K3" s="576"/>
      <c r="L3" s="575"/>
      <c r="M3" s="203"/>
    </row>
    <row r="4" spans="1:16" ht="15" customHeight="1" x14ac:dyDescent="0.35">
      <c r="A4" s="36">
        <v>2014</v>
      </c>
      <c r="B4" s="107"/>
      <c r="C4" s="61"/>
      <c r="D4" s="121"/>
      <c r="E4" s="61"/>
      <c r="F4" s="61"/>
      <c r="G4" s="61"/>
      <c r="H4" s="61"/>
      <c r="I4" s="61"/>
      <c r="J4" s="121"/>
      <c r="K4" s="61"/>
      <c r="L4" s="284">
        <f t="shared" ref="L4:L16" si="0">SUM(C4:G4)</f>
        <v>0</v>
      </c>
      <c r="N4" s="35"/>
      <c r="O4" s="13"/>
      <c r="P4" s="13"/>
    </row>
    <row r="5" spans="1:16" ht="15" customHeight="1" x14ac:dyDescent="0.25">
      <c r="A5" s="5">
        <v>2015</v>
      </c>
      <c r="B5" s="8"/>
      <c r="C5" s="22"/>
      <c r="D5" s="122"/>
      <c r="E5" s="22"/>
      <c r="F5" s="22"/>
      <c r="G5" s="22"/>
      <c r="H5" s="22"/>
      <c r="I5" s="22"/>
      <c r="J5" s="122"/>
      <c r="K5" s="22"/>
      <c r="L5" s="282">
        <f t="shared" si="0"/>
        <v>0</v>
      </c>
      <c r="N5" s="191"/>
      <c r="O5" s="190"/>
      <c r="P5" s="189"/>
    </row>
    <row r="6" spans="1:16" ht="15" customHeight="1" x14ac:dyDescent="0.25">
      <c r="A6" s="7">
        <v>2016</v>
      </c>
      <c r="B6" s="119"/>
      <c r="C6" s="280"/>
      <c r="D6" s="123"/>
      <c r="E6" s="285"/>
      <c r="F6" s="285"/>
      <c r="G6" s="285"/>
      <c r="H6" s="285"/>
      <c r="I6" s="285"/>
      <c r="J6" s="123"/>
      <c r="K6" s="285"/>
      <c r="L6" s="282">
        <f t="shared" si="0"/>
        <v>0</v>
      </c>
      <c r="M6" s="35"/>
      <c r="N6" s="192"/>
    </row>
    <row r="7" spans="1:16" ht="15" customHeight="1" x14ac:dyDescent="0.25">
      <c r="A7" s="5">
        <f t="shared" ref="A7:A10" si="1">1+A6:A6</f>
        <v>2017</v>
      </c>
      <c r="B7" s="51"/>
      <c r="C7" s="281"/>
      <c r="D7" s="122"/>
      <c r="E7" s="22"/>
      <c r="F7" s="22"/>
      <c r="G7" s="22"/>
      <c r="H7" s="22"/>
      <c r="I7" s="22"/>
      <c r="J7" s="122"/>
      <c r="K7" s="22"/>
      <c r="L7" s="282">
        <f t="shared" si="0"/>
        <v>0</v>
      </c>
      <c r="M7" s="38"/>
      <c r="N7" s="192"/>
    </row>
    <row r="8" spans="1:16" ht="15" customHeight="1" x14ac:dyDescent="0.25">
      <c r="A8" s="5">
        <f t="shared" si="1"/>
        <v>2018</v>
      </c>
      <c r="B8" s="51"/>
      <c r="C8" s="281"/>
      <c r="D8" s="122"/>
      <c r="E8" s="22"/>
      <c r="F8" s="22"/>
      <c r="G8" s="22"/>
      <c r="H8" s="22"/>
      <c r="I8" s="22"/>
      <c r="J8" s="122"/>
      <c r="K8" s="22"/>
      <c r="L8" s="282">
        <f t="shared" si="0"/>
        <v>0</v>
      </c>
      <c r="M8" s="38"/>
      <c r="N8" s="35"/>
    </row>
    <row r="9" spans="1:16" ht="15" customHeight="1" x14ac:dyDescent="0.25">
      <c r="A9" s="5">
        <f t="shared" si="1"/>
        <v>2019</v>
      </c>
      <c r="B9" s="8"/>
      <c r="C9" s="22"/>
      <c r="D9" s="124"/>
      <c r="E9" s="286"/>
      <c r="F9" s="286"/>
      <c r="G9" s="286"/>
      <c r="H9" s="286"/>
      <c r="I9" s="286"/>
      <c r="J9" s="124"/>
      <c r="K9" s="286"/>
      <c r="L9" s="282">
        <f t="shared" si="0"/>
        <v>0</v>
      </c>
      <c r="M9" s="38"/>
      <c r="N9" s="37"/>
      <c r="O9" s="9"/>
      <c r="P9" s="9"/>
    </row>
    <row r="10" spans="1:16" ht="15" customHeight="1" x14ac:dyDescent="0.25">
      <c r="A10" s="5">
        <f t="shared" si="1"/>
        <v>2020</v>
      </c>
      <c r="B10" s="8"/>
      <c r="C10" s="22"/>
      <c r="D10" s="124"/>
      <c r="E10" s="286"/>
      <c r="F10" s="286"/>
      <c r="G10" s="286"/>
      <c r="H10" s="286"/>
      <c r="I10" s="286"/>
      <c r="J10" s="124"/>
      <c r="K10" s="286"/>
      <c r="L10" s="282">
        <f t="shared" si="0"/>
        <v>0</v>
      </c>
      <c r="M10" s="38"/>
      <c r="N10" s="39"/>
      <c r="O10" s="14"/>
      <c r="P10" s="14"/>
    </row>
    <row r="11" spans="1:16" ht="15" customHeight="1" x14ac:dyDescent="0.25">
      <c r="A11" s="5">
        <f>1+A10:A10</f>
        <v>2021</v>
      </c>
      <c r="B11" s="188">
        <f t="shared" ref="B11:B14" si="2">B10+1</f>
        <v>1</v>
      </c>
      <c r="C11" s="22"/>
      <c r="D11" s="124"/>
      <c r="E11" s="286"/>
      <c r="F11" s="286"/>
      <c r="G11" s="286"/>
      <c r="H11" s="286"/>
      <c r="I11" s="286"/>
      <c r="J11" s="124"/>
      <c r="K11" s="286"/>
      <c r="L11" s="282">
        <f t="shared" si="0"/>
        <v>0</v>
      </c>
      <c r="M11" s="38"/>
      <c r="N11" s="40"/>
      <c r="O11" s="15"/>
      <c r="P11" s="15"/>
    </row>
    <row r="12" spans="1:16" ht="15" customHeight="1" x14ac:dyDescent="0.25">
      <c r="A12" s="5">
        <f t="shared" ref="A12:A47" si="3">1+A11:A11</f>
        <v>2022</v>
      </c>
      <c r="B12" s="188">
        <f t="shared" si="2"/>
        <v>2</v>
      </c>
      <c r="C12" s="22"/>
      <c r="D12" s="124"/>
      <c r="E12" s="286"/>
      <c r="F12" s="286"/>
      <c r="G12" s="286"/>
      <c r="H12" s="286"/>
      <c r="I12" s="286"/>
      <c r="J12" s="124"/>
      <c r="K12" s="286"/>
      <c r="L12" s="282">
        <f t="shared" si="0"/>
        <v>0</v>
      </c>
      <c r="M12" s="38"/>
      <c r="N12" s="40"/>
      <c r="O12" s="15"/>
      <c r="P12" s="15"/>
    </row>
    <row r="13" spans="1:16" ht="15" customHeight="1" x14ac:dyDescent="0.25">
      <c r="A13" s="5">
        <f t="shared" si="3"/>
        <v>2023</v>
      </c>
      <c r="B13" s="188">
        <f t="shared" si="2"/>
        <v>3</v>
      </c>
      <c r="C13" s="22"/>
      <c r="D13" s="124"/>
      <c r="E13" s="286"/>
      <c r="F13" s="286"/>
      <c r="G13" s="286"/>
      <c r="H13" s="286"/>
      <c r="I13" s="286"/>
      <c r="J13" s="124"/>
      <c r="K13" s="286"/>
      <c r="L13" s="282">
        <f t="shared" si="0"/>
        <v>0</v>
      </c>
      <c r="M13" s="38"/>
      <c r="N13" s="40"/>
      <c r="O13" s="15"/>
      <c r="P13" s="15"/>
    </row>
    <row r="14" spans="1:16" ht="15" customHeight="1" x14ac:dyDescent="0.25">
      <c r="A14" s="5">
        <f t="shared" si="3"/>
        <v>2024</v>
      </c>
      <c r="B14" s="188">
        <f t="shared" si="2"/>
        <v>4</v>
      </c>
      <c r="C14" s="22"/>
      <c r="D14" s="124"/>
      <c r="E14" s="286"/>
      <c r="F14" s="286"/>
      <c r="G14" s="286"/>
      <c r="H14" s="286"/>
      <c r="I14" s="286"/>
      <c r="J14" s="124"/>
      <c r="K14" s="286"/>
      <c r="L14" s="282">
        <f t="shared" si="0"/>
        <v>0</v>
      </c>
      <c r="M14" s="38"/>
      <c r="N14" s="35"/>
    </row>
    <row r="15" spans="1:16" ht="15" customHeight="1" x14ac:dyDescent="0.25">
      <c r="A15" s="5">
        <f t="shared" si="3"/>
        <v>2025</v>
      </c>
      <c r="B15" s="188">
        <f t="shared" ref="B15:B47" si="4">B14+1</f>
        <v>5</v>
      </c>
      <c r="C15" s="22"/>
      <c r="D15" s="124"/>
      <c r="E15" s="286"/>
      <c r="F15" s="286"/>
      <c r="G15" s="286"/>
      <c r="H15" s="286"/>
      <c r="I15" s="286"/>
      <c r="J15" s="124"/>
      <c r="K15" s="286"/>
      <c r="L15" s="282">
        <f t="shared" si="0"/>
        <v>0</v>
      </c>
      <c r="M15" s="38"/>
      <c r="N15" s="37"/>
    </row>
    <row r="16" spans="1:16" ht="15" customHeight="1" x14ac:dyDescent="0.25">
      <c r="A16" s="5">
        <f t="shared" si="3"/>
        <v>2026</v>
      </c>
      <c r="B16" s="188">
        <f t="shared" si="4"/>
        <v>6</v>
      </c>
      <c r="C16" s="22"/>
      <c r="D16" s="124"/>
      <c r="E16" s="286"/>
      <c r="F16" s="286"/>
      <c r="G16" s="286"/>
      <c r="H16" s="286"/>
      <c r="I16" s="286"/>
      <c r="J16" s="124"/>
      <c r="K16" s="286"/>
      <c r="L16" s="282">
        <f t="shared" si="0"/>
        <v>0</v>
      </c>
      <c r="M16" s="38"/>
      <c r="N16" s="37"/>
    </row>
    <row r="17" spans="1:16" ht="15" customHeight="1" x14ac:dyDescent="0.25">
      <c r="A17" s="5">
        <f t="shared" si="3"/>
        <v>2027</v>
      </c>
      <c r="B17" s="188">
        <f t="shared" si="4"/>
        <v>7</v>
      </c>
      <c r="C17" s="282">
        <f>'Crash Costs- I-89 Exit 1'!S17</f>
        <v>548260</v>
      </c>
      <c r="D17" s="194">
        <f>'Crash Costs- I-89 CD Weave'!S17</f>
        <v>474528</v>
      </c>
      <c r="E17" s="282">
        <f>'Crash Costs- I-89 - Ex 12 Weave'!S17</f>
        <v>507904</v>
      </c>
      <c r="F17" s="282">
        <f>'Crash Costs- Ex 12-13 Weave'!S17</f>
        <v>414816.00000000006</v>
      </c>
      <c r="G17" s="282">
        <f>'Crash Costs- Exit 12'!S17</f>
        <v>145308.00000000003</v>
      </c>
      <c r="H17" s="282">
        <f>'Crash Costs- I-89 Exit 1 NB Ram'!S17</f>
        <v>19720.000000000004</v>
      </c>
      <c r="I17" s="282">
        <f>'Crash Costs- I-89 Exit 1 SB Ram'!S17</f>
        <v>86124</v>
      </c>
      <c r="J17" s="194"/>
      <c r="K17" s="282"/>
      <c r="L17" s="282">
        <f>SUM(C17:K17)</f>
        <v>2196660</v>
      </c>
      <c r="M17" s="38"/>
      <c r="N17" s="37"/>
    </row>
    <row r="18" spans="1:16" ht="15" customHeight="1" x14ac:dyDescent="0.25">
      <c r="A18" s="5">
        <f t="shared" si="3"/>
        <v>2028</v>
      </c>
      <c r="B18" s="188">
        <f t="shared" si="4"/>
        <v>8</v>
      </c>
      <c r="C18" s="282">
        <f>'Crash Costs- I-89 Exit 1'!S18</f>
        <v>552816</v>
      </c>
      <c r="D18" s="194">
        <f>'Crash Costs- I-89 CD Weave'!S18</f>
        <v>474572</v>
      </c>
      <c r="E18" s="282">
        <f>'Crash Costs- I-89 - Ex 12 Weave'!S18</f>
        <v>507904</v>
      </c>
      <c r="F18" s="282">
        <f>'Crash Costs- Ex 12-13 Weave'!S18</f>
        <v>419371.99999999994</v>
      </c>
      <c r="G18" s="282">
        <f>'Crash Costs- Exit 12'!S18</f>
        <v>145308.00000000003</v>
      </c>
      <c r="H18" s="282">
        <f>'Crash Costs- I-89 Exit 1 NB Ram'!S18</f>
        <v>19720.000000000004</v>
      </c>
      <c r="I18" s="282">
        <f>'Crash Costs- I-89 Exit 1 SB Ram'!S18</f>
        <v>86124</v>
      </c>
      <c r="J18" s="194"/>
      <c r="K18" s="282"/>
      <c r="L18" s="282">
        <f t="shared" ref="L18:L47" si="5">SUM(C18:K18)</f>
        <v>2205816</v>
      </c>
      <c r="M18" s="38"/>
      <c r="N18" s="35"/>
    </row>
    <row r="19" spans="1:16" ht="15" customHeight="1" x14ac:dyDescent="0.25">
      <c r="A19" s="5">
        <f t="shared" si="3"/>
        <v>2029</v>
      </c>
      <c r="B19" s="188">
        <f t="shared" si="4"/>
        <v>9</v>
      </c>
      <c r="C19" s="282">
        <f>'Crash Costs- I-89 Exit 1'!S19</f>
        <v>561884</v>
      </c>
      <c r="D19" s="194">
        <f>'Crash Costs- I-89 CD Weave'!S19</f>
        <v>479172</v>
      </c>
      <c r="E19" s="282">
        <f>'Crash Costs- I-89 - Ex 12 Weave'!S19</f>
        <v>512460.00000000012</v>
      </c>
      <c r="F19" s="282">
        <f>'Crash Costs- Ex 12-13 Weave'!S19</f>
        <v>423928.00000000006</v>
      </c>
      <c r="G19" s="282">
        <f>'Crash Costs- Exit 12'!S19</f>
        <v>149864.00000000003</v>
      </c>
      <c r="H19" s="282">
        <f>'Crash Costs- I-89 Exit 1 NB Ram'!S19</f>
        <v>19720.000000000004</v>
      </c>
      <c r="I19" s="282">
        <f>'Crash Costs- I-89 Exit 1 SB Ram'!S19</f>
        <v>86124</v>
      </c>
      <c r="J19" s="194"/>
      <c r="K19" s="282"/>
      <c r="L19" s="282">
        <f t="shared" si="5"/>
        <v>2233152</v>
      </c>
      <c r="M19" s="38"/>
      <c r="N19" s="42"/>
      <c r="O19" s="25"/>
      <c r="P19" s="25"/>
    </row>
    <row r="20" spans="1:16" ht="15" customHeight="1" x14ac:dyDescent="0.25">
      <c r="A20" s="5">
        <f t="shared" si="3"/>
        <v>2030</v>
      </c>
      <c r="B20" s="188">
        <f t="shared" si="4"/>
        <v>10</v>
      </c>
      <c r="C20" s="282">
        <f>'Crash Costs- I-89 Exit 1'!S20</f>
        <v>566484</v>
      </c>
      <c r="D20" s="194">
        <f>'Crash Costs- I-89 CD Weave'!S20</f>
        <v>483728</v>
      </c>
      <c r="E20" s="282">
        <f>'Crash Costs- I-89 - Ex 12 Weave'!S20</f>
        <v>517016</v>
      </c>
      <c r="F20" s="282">
        <f>'Crash Costs- Ex 12-13 Weave'!S20</f>
        <v>423928.00000000006</v>
      </c>
      <c r="G20" s="282">
        <f>'Crash Costs- Exit 12'!S20</f>
        <v>149864.00000000003</v>
      </c>
      <c r="H20" s="282">
        <f>'Crash Costs- I-89 Exit 1 NB Ram'!S20</f>
        <v>24276</v>
      </c>
      <c r="I20" s="282">
        <f>'Crash Costs- I-89 Exit 1 SB Ram'!S20</f>
        <v>86168</v>
      </c>
      <c r="J20" s="194"/>
      <c r="K20" s="282"/>
      <c r="L20" s="282">
        <f t="shared" si="5"/>
        <v>2251464</v>
      </c>
      <c r="M20" s="38"/>
      <c r="N20" s="42"/>
      <c r="O20" s="25"/>
      <c r="P20" s="25"/>
    </row>
    <row r="21" spans="1:16" ht="15" customHeight="1" x14ac:dyDescent="0.25">
      <c r="A21" s="5">
        <f t="shared" si="3"/>
        <v>2031</v>
      </c>
      <c r="B21" s="188">
        <f t="shared" si="4"/>
        <v>11</v>
      </c>
      <c r="C21" s="282">
        <f>'Crash Costs- I-89 Exit 1'!S21</f>
        <v>566528</v>
      </c>
      <c r="D21" s="194">
        <f>'Crash Costs- I-89 CD Weave'!S21</f>
        <v>488240</v>
      </c>
      <c r="E21" s="282">
        <f>'Crash Costs- I-89 - Ex 12 Weave'!S21</f>
        <v>517060</v>
      </c>
      <c r="F21" s="282">
        <f>'Crash Costs- Ex 12-13 Weave'!S21</f>
        <v>428483.99999999977</v>
      </c>
      <c r="G21" s="282">
        <f>'Crash Costs- Exit 12'!S21</f>
        <v>149864.00000000003</v>
      </c>
      <c r="H21" s="282">
        <f>'Crash Costs- I-89 Exit 1 NB Ram'!S21</f>
        <v>24276</v>
      </c>
      <c r="I21" s="282">
        <f>'Crash Costs- I-89 Exit 1 SB Ram'!S21</f>
        <v>86168</v>
      </c>
      <c r="J21" s="194"/>
      <c r="K21" s="282"/>
      <c r="L21" s="282">
        <f t="shared" si="5"/>
        <v>2260620</v>
      </c>
      <c r="M21" s="38"/>
      <c r="N21" s="41"/>
    </row>
    <row r="22" spans="1:16" ht="15" customHeight="1" x14ac:dyDescent="0.25">
      <c r="A22" s="5">
        <f t="shared" si="3"/>
        <v>2032</v>
      </c>
      <c r="B22" s="188">
        <f t="shared" si="4"/>
        <v>12</v>
      </c>
      <c r="C22" s="282">
        <f>'Crash Costs- I-89 Exit 1'!S22</f>
        <v>571084</v>
      </c>
      <c r="D22" s="194">
        <f>'Crash Costs- I-89 CD Weave'!S22</f>
        <v>492796.00000000006</v>
      </c>
      <c r="E22" s="282">
        <f>'Crash Costs- I-89 - Ex 12 Weave'!S22</f>
        <v>521615.99999999988</v>
      </c>
      <c r="F22" s="282">
        <f>'Crash Costs- Ex 12-13 Weave'!S22</f>
        <v>433039.99999999988</v>
      </c>
      <c r="G22" s="282">
        <f>'Crash Costs- Exit 12'!S22</f>
        <v>149864.00000000003</v>
      </c>
      <c r="H22" s="282">
        <f>'Crash Costs- I-89 Exit 1 NB Ram'!S22</f>
        <v>24276</v>
      </c>
      <c r="I22" s="282">
        <f>'Crash Costs- I-89 Exit 1 SB Ram'!S22</f>
        <v>86168</v>
      </c>
      <c r="J22" s="194"/>
      <c r="K22" s="282"/>
      <c r="L22" s="282">
        <f t="shared" si="5"/>
        <v>2278844</v>
      </c>
      <c r="M22" s="38"/>
      <c r="N22" s="41"/>
    </row>
    <row r="23" spans="1:16" ht="15" customHeight="1" x14ac:dyDescent="0.25">
      <c r="A23" s="5">
        <f t="shared" si="3"/>
        <v>2033</v>
      </c>
      <c r="B23" s="51">
        <f t="shared" si="4"/>
        <v>13</v>
      </c>
      <c r="C23" s="282">
        <f>'Crash Costs- I-89 Exit 1'!S23</f>
        <v>575640</v>
      </c>
      <c r="D23" s="194">
        <f>'Crash Costs- I-89 CD Weave'!S23</f>
        <v>492840.00000000006</v>
      </c>
      <c r="E23" s="282">
        <f>'Crash Costs- I-89 - Ex 12 Weave'!S23</f>
        <v>521659.99999999988</v>
      </c>
      <c r="F23" s="282">
        <f>'Crash Costs- Ex 12-13 Weave'!S23</f>
        <v>433084.00000000006</v>
      </c>
      <c r="G23" s="282">
        <f>'Crash Costs- Exit 12'!S23</f>
        <v>154376.00000000003</v>
      </c>
      <c r="H23" s="282">
        <f>'Crash Costs- I-89 Exit 1 NB Ram'!S23</f>
        <v>24320</v>
      </c>
      <c r="I23" s="282">
        <f>'Crash Costs- I-89 Exit 1 SB Ram'!S23</f>
        <v>90680</v>
      </c>
      <c r="J23" s="194"/>
      <c r="K23" s="282"/>
      <c r="L23" s="282">
        <f t="shared" si="5"/>
        <v>2292600</v>
      </c>
      <c r="M23" s="38"/>
      <c r="N23" s="41"/>
    </row>
    <row r="24" spans="1:16" ht="15" customHeight="1" x14ac:dyDescent="0.25">
      <c r="A24" s="5">
        <f t="shared" si="3"/>
        <v>2034</v>
      </c>
      <c r="B24" s="51">
        <f t="shared" si="4"/>
        <v>14</v>
      </c>
      <c r="C24" s="282">
        <f>'Crash Costs- I-89 Exit 1'!S24</f>
        <v>580240</v>
      </c>
      <c r="D24" s="194">
        <f>'Crash Costs- I-89 CD Weave'!S24</f>
        <v>497396.00000000006</v>
      </c>
      <c r="E24" s="282">
        <f>'Crash Costs- I-89 - Ex 12 Weave'!S24</f>
        <v>526172</v>
      </c>
      <c r="F24" s="282">
        <f>'Crash Costs- Ex 12-13 Weave'!S24</f>
        <v>437596</v>
      </c>
      <c r="G24" s="282">
        <f>'Crash Costs- Exit 12'!S24</f>
        <v>154376.00000000003</v>
      </c>
      <c r="H24" s="282">
        <f>'Crash Costs- I-89 Exit 1 NB Ram'!S24</f>
        <v>24320</v>
      </c>
      <c r="I24" s="282">
        <f>'Crash Costs- I-89 Exit 1 SB Ram'!S24</f>
        <v>90680</v>
      </c>
      <c r="J24" s="194"/>
      <c r="K24" s="282"/>
      <c r="L24" s="282">
        <f t="shared" si="5"/>
        <v>2310780</v>
      </c>
      <c r="M24" s="38"/>
      <c r="N24" s="35"/>
    </row>
    <row r="25" spans="1:16" ht="15" customHeight="1" x14ac:dyDescent="0.25">
      <c r="A25" s="5">
        <f t="shared" si="3"/>
        <v>2035</v>
      </c>
      <c r="B25" s="51">
        <f t="shared" si="4"/>
        <v>15</v>
      </c>
      <c r="C25" s="282">
        <f>'Crash Costs- I-89 Exit 1'!S25</f>
        <v>584752</v>
      </c>
      <c r="D25" s="194">
        <f>'Crash Costs- I-89 CD Weave'!S25</f>
        <v>501952.00000000006</v>
      </c>
      <c r="E25" s="282">
        <f>'Crash Costs- I-89 - Ex 12 Weave'!S25</f>
        <v>526216</v>
      </c>
      <c r="F25" s="282">
        <f>'Crash Costs- Ex 12-13 Weave'!S25</f>
        <v>442152.00000000029</v>
      </c>
      <c r="G25" s="282">
        <f>'Crash Costs- Exit 12'!S25</f>
        <v>154420.00000000003</v>
      </c>
      <c r="H25" s="282">
        <f>'Crash Costs- I-89 Exit 1 NB Ram'!S25</f>
        <v>24320</v>
      </c>
      <c r="I25" s="282">
        <f>'Crash Costs- I-89 Exit 1 SB Ram'!S25</f>
        <v>90680</v>
      </c>
      <c r="J25" s="194"/>
      <c r="K25" s="282"/>
      <c r="L25" s="282">
        <f t="shared" si="5"/>
        <v>2324492.0000000005</v>
      </c>
      <c r="M25" s="38"/>
      <c r="N25" s="35"/>
    </row>
    <row r="26" spans="1:16" ht="15" customHeight="1" x14ac:dyDescent="0.25">
      <c r="A26" s="5">
        <f t="shared" si="3"/>
        <v>2036</v>
      </c>
      <c r="B26" s="51">
        <f t="shared" si="4"/>
        <v>16</v>
      </c>
      <c r="C26" s="282">
        <f>'Crash Costs- I-89 Exit 1'!S26</f>
        <v>589352</v>
      </c>
      <c r="D26" s="194">
        <f>'Crash Costs- I-89 CD Weave'!S26</f>
        <v>506507.99999999994</v>
      </c>
      <c r="E26" s="282">
        <f>'Crash Costs- I-89 - Ex 12 Weave'!S26</f>
        <v>530772.00000000012</v>
      </c>
      <c r="F26" s="282">
        <f>'Crash Costs- Ex 12-13 Weave'!S26</f>
        <v>446708</v>
      </c>
      <c r="G26" s="282">
        <f>'Crash Costs- Exit 12'!S26</f>
        <v>154419.99999999994</v>
      </c>
      <c r="H26" s="282">
        <f>'Crash Costs- I-89 Exit 1 NB Ram'!S26</f>
        <v>24320</v>
      </c>
      <c r="I26" s="282">
        <f>'Crash Costs- I-89 Exit 1 SB Ram'!S26</f>
        <v>90680</v>
      </c>
      <c r="J26" s="194"/>
      <c r="K26" s="282"/>
      <c r="L26" s="282">
        <f t="shared" si="5"/>
        <v>2342760</v>
      </c>
      <c r="M26" s="38"/>
      <c r="N26" s="35"/>
    </row>
    <row r="27" spans="1:16" ht="15" customHeight="1" x14ac:dyDescent="0.25">
      <c r="A27" s="5">
        <f t="shared" si="3"/>
        <v>2037</v>
      </c>
      <c r="B27" s="51">
        <f t="shared" si="4"/>
        <v>17</v>
      </c>
      <c r="C27" s="282">
        <f>'Crash Costs- I-89 Exit 1'!S27</f>
        <v>593952</v>
      </c>
      <c r="D27" s="194">
        <f>'Crash Costs- I-89 CD Weave'!S27</f>
        <v>511063.99999999994</v>
      </c>
      <c r="E27" s="282">
        <f>'Crash Costs- I-89 - Ex 12 Weave'!S27</f>
        <v>530816.00000000012</v>
      </c>
      <c r="F27" s="282">
        <f>'Crash Costs- Ex 12-13 Weave'!S27</f>
        <v>446752</v>
      </c>
      <c r="G27" s="282">
        <f>'Crash Costs- Exit 12'!S27</f>
        <v>158931.99999999994</v>
      </c>
      <c r="H27" s="282">
        <f>'Crash Costs- I-89 Exit 1 NB Ram'!S27</f>
        <v>24320</v>
      </c>
      <c r="I27" s="282">
        <f>'Crash Costs- I-89 Exit 1 SB Ram'!S27</f>
        <v>90680</v>
      </c>
      <c r="J27" s="194"/>
      <c r="K27" s="282"/>
      <c r="L27" s="282">
        <f t="shared" si="5"/>
        <v>2356516</v>
      </c>
      <c r="M27" s="2"/>
    </row>
    <row r="28" spans="1:16" ht="15" customHeight="1" x14ac:dyDescent="0.25">
      <c r="A28" s="5">
        <f t="shared" si="3"/>
        <v>2038</v>
      </c>
      <c r="B28" s="51">
        <f t="shared" si="4"/>
        <v>18</v>
      </c>
      <c r="C28" s="282">
        <f>'Crash Costs- I-89 Exit 1'!S28</f>
        <v>598463.99999999988</v>
      </c>
      <c r="D28" s="194">
        <f>'Crash Costs- I-89 CD Weave'!S28</f>
        <v>511107.99999999994</v>
      </c>
      <c r="E28" s="282">
        <f>'Crash Costs- I-89 - Ex 12 Weave'!S28</f>
        <v>535372</v>
      </c>
      <c r="F28" s="282">
        <f>'Crash Costs- Ex 12-13 Weave'!S28</f>
        <v>451308.00000000012</v>
      </c>
      <c r="G28" s="282">
        <f>'Crash Costs- Exit 12'!S28</f>
        <v>158931.99999999994</v>
      </c>
      <c r="H28" s="282">
        <f>'Crash Costs- I-89 Exit 1 NB Ram'!S28</f>
        <v>24364</v>
      </c>
      <c r="I28" s="282">
        <f>'Crash Costs- I-89 Exit 1 SB Ram'!S28</f>
        <v>90680</v>
      </c>
      <c r="J28" s="194"/>
      <c r="K28" s="282"/>
      <c r="L28" s="282">
        <f t="shared" si="5"/>
        <v>2370228</v>
      </c>
      <c r="M28" s="2"/>
    </row>
    <row r="29" spans="1:16" ht="15" customHeight="1" x14ac:dyDescent="0.25">
      <c r="A29" s="5">
        <f t="shared" si="3"/>
        <v>2039</v>
      </c>
      <c r="B29" s="51">
        <f t="shared" si="4"/>
        <v>19</v>
      </c>
      <c r="C29" s="282">
        <f>'Crash Costs- I-89 Exit 1'!S29</f>
        <v>603063.99999999988</v>
      </c>
      <c r="D29" s="194">
        <f>'Crash Costs- I-89 CD Weave'!S29</f>
        <v>515663.99999999994</v>
      </c>
      <c r="E29" s="282">
        <f>'Crash Costs- I-89 - Ex 12 Weave'!S29</f>
        <v>539927.99999999988</v>
      </c>
      <c r="F29" s="282">
        <f>'Crash Costs- Ex 12-13 Weave'!S29</f>
        <v>455820.00000000017</v>
      </c>
      <c r="G29" s="282">
        <f>'Crash Costs- Exit 12'!S29</f>
        <v>158931.99999999994</v>
      </c>
      <c r="H29" s="282">
        <f>'Crash Costs- I-89 Exit 1 NB Ram'!S29</f>
        <v>24364</v>
      </c>
      <c r="I29" s="282">
        <f>'Crash Costs- I-89 Exit 1 SB Ram'!S29</f>
        <v>95191.999999999985</v>
      </c>
      <c r="J29" s="194"/>
      <c r="K29" s="282"/>
      <c r="L29" s="282">
        <f t="shared" si="5"/>
        <v>2392963.9999999995</v>
      </c>
      <c r="M29" s="2"/>
    </row>
    <row r="30" spans="1:16" ht="15" customHeight="1" x14ac:dyDescent="0.25">
      <c r="A30" s="5">
        <f t="shared" si="3"/>
        <v>2040</v>
      </c>
      <c r="B30" s="51">
        <f t="shared" si="4"/>
        <v>20</v>
      </c>
      <c r="C30" s="282">
        <f>'Crash Costs- I-89 Exit 1'!S30</f>
        <v>607619.99999999988</v>
      </c>
      <c r="D30" s="194">
        <f>'Crash Costs- I-89 CD Weave'!S30</f>
        <v>520219.99999999994</v>
      </c>
      <c r="E30" s="282">
        <f>'Crash Costs- I-89 - Ex 12 Weave'!S30</f>
        <v>539927.99999999988</v>
      </c>
      <c r="F30" s="282">
        <f>'Crash Costs- Ex 12-13 Weave'!S30</f>
        <v>460375.99999999988</v>
      </c>
      <c r="G30" s="282">
        <f>'Crash Costs- Exit 12'!S30</f>
        <v>158975.99999999994</v>
      </c>
      <c r="H30" s="282">
        <f>'Crash Costs- I-89 Exit 1 NB Ram'!S30</f>
        <v>24408</v>
      </c>
      <c r="I30" s="282">
        <f>'Crash Costs- I-89 Exit 1 SB Ram'!S30</f>
        <v>95191.999999999985</v>
      </c>
      <c r="J30" s="194"/>
      <c r="K30" s="282"/>
      <c r="L30" s="282">
        <f t="shared" si="5"/>
        <v>2406719.9999999995</v>
      </c>
      <c r="M30" s="2"/>
    </row>
    <row r="31" spans="1:16" ht="15" customHeight="1" x14ac:dyDescent="0.25">
      <c r="A31" s="5">
        <f t="shared" si="3"/>
        <v>2041</v>
      </c>
      <c r="B31" s="51">
        <f t="shared" si="4"/>
        <v>21</v>
      </c>
      <c r="C31" s="282">
        <f>'Crash Costs- I-89 Exit 1'!S31</f>
        <v>612175.99999999988</v>
      </c>
      <c r="D31" s="194">
        <f>'Crash Costs- I-89 CD Weave'!S31</f>
        <v>524775.99999999988</v>
      </c>
      <c r="E31" s="282">
        <f>'Crash Costs- I-89 - Ex 12 Weave'!S31</f>
        <v>544484</v>
      </c>
      <c r="F31" s="282">
        <f>'Crash Costs- Ex 12-13 Weave'!S31</f>
        <v>460419.99999999988</v>
      </c>
      <c r="G31" s="282">
        <f>'Crash Costs- Exit 12'!S31</f>
        <v>163487.99999999994</v>
      </c>
      <c r="H31" s="282">
        <f>'Crash Costs- I-89 Exit 1 NB Ram'!S31</f>
        <v>24408</v>
      </c>
      <c r="I31" s="282">
        <f>'Crash Costs- I-89 Exit 1 SB Ram'!S31</f>
        <v>95191.999999999985</v>
      </c>
      <c r="J31" s="194"/>
      <c r="K31" s="282"/>
      <c r="L31" s="282">
        <f t="shared" si="5"/>
        <v>2424943.9999999995</v>
      </c>
      <c r="M31" s="2"/>
    </row>
    <row r="32" spans="1:16" ht="15" customHeight="1" x14ac:dyDescent="0.25">
      <c r="A32" s="5">
        <f t="shared" si="3"/>
        <v>2042</v>
      </c>
      <c r="B32" s="51">
        <f t="shared" si="4"/>
        <v>22</v>
      </c>
      <c r="C32" s="282">
        <f>'Crash Costs- I-89 Exit 1'!S32</f>
        <v>616731.99999999988</v>
      </c>
      <c r="D32" s="194">
        <f>'Crash Costs- I-89 CD Weave'!S32</f>
        <v>529331.99999999988</v>
      </c>
      <c r="E32" s="282">
        <f>'Crash Costs- I-89 - Ex 12 Weave'!S32</f>
        <v>544528</v>
      </c>
      <c r="F32" s="282">
        <f>'Crash Costs- Ex 12-13 Weave'!S32</f>
        <v>464976</v>
      </c>
      <c r="G32" s="282">
        <f>'Crash Costs- Exit 12'!S32</f>
        <v>163487.99999999994</v>
      </c>
      <c r="H32" s="282">
        <f>'Crash Costs- I-89 Exit 1 NB Ram'!S32</f>
        <v>24408</v>
      </c>
      <c r="I32" s="282">
        <f>'Crash Costs- I-89 Exit 1 SB Ram'!S32</f>
        <v>95235.999999999985</v>
      </c>
      <c r="J32" s="194"/>
      <c r="K32" s="282"/>
      <c r="L32" s="282">
        <f t="shared" si="5"/>
        <v>2438700</v>
      </c>
      <c r="M32" s="2"/>
    </row>
    <row r="33" spans="1:13" ht="15" customHeight="1" x14ac:dyDescent="0.25">
      <c r="A33" s="5">
        <f t="shared" si="3"/>
        <v>2043</v>
      </c>
      <c r="B33" s="51">
        <f t="shared" si="4"/>
        <v>23</v>
      </c>
      <c r="C33" s="282">
        <f>'Crash Costs- I-89 Exit 1'!S33</f>
        <v>621332</v>
      </c>
      <c r="D33" s="194">
        <f>'Crash Costs- I-89 CD Weave'!S33</f>
        <v>529375.99999999988</v>
      </c>
      <c r="E33" s="282">
        <f>'Crash Costs- I-89 - Ex 12 Weave'!S33</f>
        <v>549083.99999999988</v>
      </c>
      <c r="F33" s="282">
        <f>'Crash Costs- Ex 12-13 Weave'!S33</f>
        <v>469532.00000000012</v>
      </c>
      <c r="G33" s="282">
        <f>'Crash Costs- Exit 12'!S33</f>
        <v>163487.99999999994</v>
      </c>
      <c r="H33" s="282">
        <f>'Crash Costs- I-89 Exit 1 NB Ram'!S33</f>
        <v>24452</v>
      </c>
      <c r="I33" s="282">
        <f>'Crash Costs- I-89 Exit 1 SB Ram'!S33</f>
        <v>95235.999999999985</v>
      </c>
      <c r="J33" s="194"/>
      <c r="K33" s="282"/>
      <c r="L33" s="282">
        <f t="shared" si="5"/>
        <v>2452500</v>
      </c>
      <c r="M33" s="2"/>
    </row>
    <row r="34" spans="1:13" ht="15" customHeight="1" x14ac:dyDescent="0.25">
      <c r="A34" s="5">
        <f t="shared" si="3"/>
        <v>2044</v>
      </c>
      <c r="B34" s="51">
        <f t="shared" si="4"/>
        <v>24</v>
      </c>
      <c r="C34" s="282">
        <f>'Crash Costs- I-89 Exit 1'!S34</f>
        <v>625888</v>
      </c>
      <c r="D34" s="194">
        <f>'Crash Costs- I-89 CD Weave'!S34</f>
        <v>533932</v>
      </c>
      <c r="E34" s="282">
        <f>'Crash Costs- I-89 - Ex 12 Weave'!S34</f>
        <v>549127.99999999988</v>
      </c>
      <c r="F34" s="282">
        <f>'Crash Costs- Ex 12-13 Weave'!S34</f>
        <v>474043.99999999983</v>
      </c>
      <c r="G34" s="282">
        <f>'Crash Costs- Exit 12'!S34</f>
        <v>163487.99999999994</v>
      </c>
      <c r="H34" s="282">
        <f>'Crash Costs- I-89 Exit 1 NB Ram'!S34</f>
        <v>24452</v>
      </c>
      <c r="I34" s="282">
        <f>'Crash Costs- I-89 Exit 1 SB Ram'!S34</f>
        <v>95235.999999999985</v>
      </c>
      <c r="J34" s="194"/>
      <c r="K34" s="282"/>
      <c r="L34" s="282">
        <f t="shared" si="5"/>
        <v>2466168</v>
      </c>
      <c r="M34" s="2"/>
    </row>
    <row r="35" spans="1:13" ht="15" customHeight="1" x14ac:dyDescent="0.25">
      <c r="A35" s="5">
        <f t="shared" si="3"/>
        <v>2045</v>
      </c>
      <c r="B35" s="51">
        <f t="shared" si="4"/>
        <v>25</v>
      </c>
      <c r="C35" s="282">
        <f>'Crash Costs- I-89 Exit 1'!S35</f>
        <v>630444</v>
      </c>
      <c r="D35" s="194">
        <f>'Crash Costs- I-89 CD Weave'!S35</f>
        <v>538488</v>
      </c>
      <c r="E35" s="282">
        <f>'Crash Costs- I-89 - Ex 12 Weave'!S35</f>
        <v>553684</v>
      </c>
      <c r="F35" s="282">
        <f>'Crash Costs- Ex 12-13 Weave'!S35</f>
        <v>478599.99999999994</v>
      </c>
      <c r="G35" s="282">
        <f>'Crash Costs- Exit 12'!S35</f>
        <v>167999.99999999994</v>
      </c>
      <c r="H35" s="282">
        <f>'Crash Costs- I-89 Exit 1 NB Ram'!S35</f>
        <v>24452</v>
      </c>
      <c r="I35" s="282">
        <f>'Crash Costs- I-89 Exit 1 SB Ram'!S35</f>
        <v>99747.999999999985</v>
      </c>
      <c r="J35" s="194"/>
      <c r="K35" s="282"/>
      <c r="L35" s="282">
        <f t="shared" si="5"/>
        <v>2493416</v>
      </c>
      <c r="M35" s="2"/>
    </row>
    <row r="36" spans="1:13" ht="15" customHeight="1" x14ac:dyDescent="0.25">
      <c r="A36" s="5">
        <f t="shared" si="3"/>
        <v>2046</v>
      </c>
      <c r="B36" s="51">
        <f t="shared" si="4"/>
        <v>26</v>
      </c>
      <c r="C36" s="282">
        <f>'Crash Costs- I-89 Exit 1'!S36</f>
        <v>635044</v>
      </c>
      <c r="D36" s="194">
        <f>'Crash Costs- I-89 CD Weave'!S36</f>
        <v>547556</v>
      </c>
      <c r="E36" s="282">
        <f>'Crash Costs- I-89 - Ex 12 Weave'!S36</f>
        <v>558240.00000000012</v>
      </c>
      <c r="F36" s="282">
        <f>'Crash Costs- Ex 12-13 Weave'!S36</f>
        <v>478643.99999999994</v>
      </c>
      <c r="G36" s="282">
        <f>'Crash Costs- Exit 12'!S36</f>
        <v>168043.99999999994</v>
      </c>
      <c r="H36" s="282">
        <f>'Crash Costs- I-89 Exit 1 NB Ram'!S36</f>
        <v>24496</v>
      </c>
      <c r="I36" s="282">
        <f>'Crash Costs- I-89 Exit 1 SB Ram'!S36</f>
        <v>99747.999999999985</v>
      </c>
      <c r="J36" s="194"/>
      <c r="K36" s="282"/>
      <c r="L36" s="282">
        <f t="shared" si="5"/>
        <v>2511772</v>
      </c>
      <c r="M36" s="2"/>
    </row>
    <row r="37" spans="1:13" ht="15" customHeight="1" x14ac:dyDescent="0.25">
      <c r="A37" s="5">
        <f t="shared" si="3"/>
        <v>2047</v>
      </c>
      <c r="B37" s="51">
        <f t="shared" si="4"/>
        <v>27</v>
      </c>
      <c r="C37" s="282">
        <f>'Crash Costs- I-89 Exit 1'!S37</f>
        <v>639600</v>
      </c>
      <c r="D37" s="194">
        <f>'Crash Costs- I-89 CD Weave'!S37</f>
        <v>547600</v>
      </c>
      <c r="E37" s="282">
        <f>'Crash Costs- I-89 - Ex 12 Weave'!S37</f>
        <v>558240</v>
      </c>
      <c r="F37" s="282">
        <f>'Crash Costs- Ex 12-13 Weave'!S37</f>
        <v>483200</v>
      </c>
      <c r="G37" s="282">
        <f>'Crash Costs- Exit 12'!S37</f>
        <v>168044.00000000006</v>
      </c>
      <c r="H37" s="282">
        <f>'Crash Costs- I-89 Exit 1 NB Ram'!S37</f>
        <v>24496</v>
      </c>
      <c r="I37" s="282">
        <f>'Crash Costs- I-89 Exit 1 SB Ram'!S37</f>
        <v>99747.999999999985</v>
      </c>
      <c r="J37" s="194"/>
      <c r="K37" s="282"/>
      <c r="L37" s="282">
        <f t="shared" si="5"/>
        <v>2520928</v>
      </c>
      <c r="M37" s="2"/>
    </row>
    <row r="38" spans="1:13" ht="15" customHeight="1" x14ac:dyDescent="0.25">
      <c r="A38" s="5">
        <f t="shared" si="3"/>
        <v>2048</v>
      </c>
      <c r="B38" s="51">
        <f t="shared" si="4"/>
        <v>28</v>
      </c>
      <c r="C38" s="282">
        <f>'Crash Costs- I-89 Exit 1'!S38</f>
        <v>644156.00000000012</v>
      </c>
      <c r="D38" s="194">
        <f>'Crash Costs- I-89 CD Weave'!S38</f>
        <v>552156</v>
      </c>
      <c r="E38" s="282">
        <f>'Crash Costs- I-89 - Ex 12 Weave'!S38</f>
        <v>562796</v>
      </c>
      <c r="F38" s="282">
        <f>'Crash Costs- Ex 12-13 Weave'!S38</f>
        <v>487756.00000000012</v>
      </c>
      <c r="G38" s="282">
        <f>'Crash Costs- Exit 12'!S38</f>
        <v>172556.00000000006</v>
      </c>
      <c r="H38" s="282">
        <f>'Crash Costs- I-89 Exit 1 NB Ram'!S38</f>
        <v>24496</v>
      </c>
      <c r="I38" s="282">
        <f>'Crash Costs- I-89 Exit 1 SB Ram'!S38</f>
        <v>99747.999999999985</v>
      </c>
      <c r="J38" s="194"/>
      <c r="K38" s="282"/>
      <c r="L38" s="282">
        <f t="shared" si="5"/>
        <v>2543664</v>
      </c>
      <c r="M38" s="2"/>
    </row>
    <row r="39" spans="1:13" ht="15" customHeight="1" x14ac:dyDescent="0.25">
      <c r="A39" s="5">
        <f t="shared" si="3"/>
        <v>2049</v>
      </c>
      <c r="B39" s="51">
        <f t="shared" si="4"/>
        <v>29</v>
      </c>
      <c r="C39" s="282">
        <f>'Crash Costs- I-89 Exit 1'!S39</f>
        <v>648756</v>
      </c>
      <c r="D39" s="194">
        <f>'Crash Costs- I-89 CD Weave'!S39</f>
        <v>556712</v>
      </c>
      <c r="E39" s="282">
        <f>'Crash Costs- I-89 - Ex 12 Weave'!S39</f>
        <v>562839.99999999988</v>
      </c>
      <c r="F39" s="282">
        <f>'Crash Costs- Ex 12-13 Weave'!S39</f>
        <v>492312.00000000023</v>
      </c>
      <c r="G39" s="282">
        <f>'Crash Costs- Exit 12'!S39</f>
        <v>172556.00000000006</v>
      </c>
      <c r="H39" s="282">
        <f>'Crash Costs- I-89 Exit 1 NB Ram'!S39</f>
        <v>24496</v>
      </c>
      <c r="I39" s="282">
        <f>'Crash Costs- I-89 Exit 1 SB Ram'!S39</f>
        <v>99747.999999999985</v>
      </c>
      <c r="J39" s="194"/>
      <c r="K39" s="282"/>
      <c r="L39" s="282">
        <f t="shared" si="5"/>
        <v>2557420</v>
      </c>
      <c r="M39" s="2"/>
    </row>
    <row r="40" spans="1:13" ht="15" customHeight="1" x14ac:dyDescent="0.25">
      <c r="A40" s="5">
        <f t="shared" si="3"/>
        <v>2050</v>
      </c>
      <c r="B40" s="51">
        <f t="shared" si="4"/>
        <v>30</v>
      </c>
      <c r="C40" s="282">
        <f>'Crash Costs- I-89 Exit 1'!S40</f>
        <v>657824</v>
      </c>
      <c r="D40" s="194">
        <f>'Crash Costs- I-89 CD Weave'!S40</f>
        <v>561312</v>
      </c>
      <c r="E40" s="282">
        <f>'Crash Costs- I-89 - Ex 12 Weave'!S40</f>
        <v>567396.00000000012</v>
      </c>
      <c r="F40" s="282">
        <f>'Crash Costs- Ex 12-13 Weave'!S40</f>
        <v>496868.00000000012</v>
      </c>
      <c r="G40" s="282">
        <f>'Crash Costs- Exit 12'!S40</f>
        <v>172556.00000000006</v>
      </c>
      <c r="H40" s="282">
        <f>'Crash Costs- I-89 Exit 1 NB Ram'!S40</f>
        <v>24540</v>
      </c>
      <c r="I40" s="282">
        <f>'Crash Costs- I-89 Exit 1 SB Ram'!S40</f>
        <v>99748.000000000015</v>
      </c>
      <c r="J40" s="194"/>
      <c r="K40" s="282"/>
      <c r="L40" s="282">
        <f t="shared" si="5"/>
        <v>2580244</v>
      </c>
    </row>
    <row r="41" spans="1:13" ht="15" customHeight="1" x14ac:dyDescent="0.25">
      <c r="A41" s="5">
        <f t="shared" si="3"/>
        <v>2051</v>
      </c>
      <c r="B41" s="51">
        <f t="shared" si="4"/>
        <v>31</v>
      </c>
      <c r="C41" s="282">
        <f>'Crash Costs- I-89 Exit 1'!S41</f>
        <v>657912</v>
      </c>
      <c r="D41" s="194">
        <f>'Crash Costs- I-89 CD Weave'!S41</f>
        <v>565824</v>
      </c>
      <c r="E41" s="282">
        <f>'Crash Costs- I-89 - Ex 12 Weave'!S41</f>
        <v>571952.00000000012</v>
      </c>
      <c r="F41" s="282">
        <f>'Crash Costs- Ex 12-13 Weave'!S41</f>
        <v>496867.99999999971</v>
      </c>
      <c r="G41" s="282">
        <f>'Crash Costs- Exit 12'!S41</f>
        <v>172600.00000000006</v>
      </c>
      <c r="H41" s="282">
        <f>'Crash Costs- I-89 Exit 1 NB Ram'!S41</f>
        <v>24540</v>
      </c>
      <c r="I41" s="282">
        <f>'Crash Costs- I-89 Exit 1 SB Ram'!S41</f>
        <v>99748.000000000015</v>
      </c>
      <c r="J41" s="194"/>
      <c r="K41" s="282"/>
      <c r="L41" s="282">
        <f t="shared" si="5"/>
        <v>2589443.9999999995</v>
      </c>
    </row>
    <row r="42" spans="1:13" ht="15" customHeight="1" x14ac:dyDescent="0.25">
      <c r="A42" s="5">
        <f t="shared" si="3"/>
        <v>2052</v>
      </c>
      <c r="B42" s="51">
        <f t="shared" si="4"/>
        <v>32</v>
      </c>
      <c r="C42" s="282">
        <f>'Crash Costs- I-89 Exit 1'!S42</f>
        <v>662468.00000000012</v>
      </c>
      <c r="D42" s="194">
        <f>'Crash Costs- I-89 CD Weave'!S42</f>
        <v>565868</v>
      </c>
      <c r="E42" s="282">
        <f>'Crash Costs- I-89 - Ex 12 Weave'!S42</f>
        <v>571996.00000000012</v>
      </c>
      <c r="F42" s="282">
        <f>'Crash Costs- Ex 12-13 Weave'!S42</f>
        <v>501423.99999999983</v>
      </c>
      <c r="G42" s="282">
        <f>'Crash Costs- Exit 12'!S42</f>
        <v>177112.00000000006</v>
      </c>
      <c r="H42" s="282">
        <f>'Crash Costs- I-89 Exit 1 NB Ram'!S42</f>
        <v>24540</v>
      </c>
      <c r="I42" s="282">
        <f>'Crash Costs- I-89 Exit 1 SB Ram'!S42</f>
        <v>99748.000000000015</v>
      </c>
      <c r="J42" s="194"/>
      <c r="K42" s="282"/>
      <c r="L42" s="282">
        <f t="shared" si="5"/>
        <v>2603156</v>
      </c>
    </row>
    <row r="43" spans="1:13" ht="15" customHeight="1" x14ac:dyDescent="0.25">
      <c r="A43" s="5">
        <f t="shared" si="3"/>
        <v>2053</v>
      </c>
      <c r="B43" s="51">
        <f t="shared" si="4"/>
        <v>33</v>
      </c>
      <c r="C43" s="282">
        <f>'Crash Costs- I-89 Exit 1'!S43</f>
        <v>671536.00000000012</v>
      </c>
      <c r="D43" s="194">
        <f>'Crash Costs- I-89 CD Weave'!S43</f>
        <v>574980</v>
      </c>
      <c r="E43" s="282">
        <f>'Crash Costs- I-89 - Ex 12 Weave'!S43</f>
        <v>672552.00000000023</v>
      </c>
      <c r="F43" s="282">
        <f>'Crash Costs- Ex 12-13 Weave'!S43</f>
        <v>505979.99999999994</v>
      </c>
      <c r="G43" s="282">
        <f>'Crash Costs- Exit 12'!S43</f>
        <v>177112.00000000006</v>
      </c>
      <c r="H43" s="282">
        <f>'Crash Costs- I-89 Exit 1 NB Ram'!S43</f>
        <v>29096.000000000004</v>
      </c>
      <c r="I43" s="282">
        <f>'Crash Costs- I-89 Exit 1 SB Ram'!S43</f>
        <v>104260.00000000001</v>
      </c>
      <c r="J43" s="376"/>
      <c r="K43" s="375"/>
      <c r="L43" s="282">
        <f t="shared" si="5"/>
        <v>2735516</v>
      </c>
    </row>
    <row r="44" spans="1:13" x14ac:dyDescent="0.25">
      <c r="A44" s="5">
        <f t="shared" si="3"/>
        <v>2054</v>
      </c>
      <c r="B44" s="51">
        <f t="shared" si="4"/>
        <v>34</v>
      </c>
      <c r="C44" s="282">
        <f>'Crash Costs- I-89 Exit 1'!S44</f>
        <v>676136</v>
      </c>
      <c r="D44" s="194">
        <f>'Crash Costs- I-89 CD Weave'!S44</f>
        <v>579536</v>
      </c>
      <c r="E44" s="282">
        <f>'Crash Costs- I-89 - Ex 12 Weave'!S44</f>
        <v>677108.00000000023</v>
      </c>
      <c r="F44" s="282">
        <f>'Crash Costs- Ex 12-13 Weave'!S44</f>
        <v>510536.00000000006</v>
      </c>
      <c r="G44" s="282">
        <f>'Crash Costs- Exit 12'!S44</f>
        <v>177112.00000000006</v>
      </c>
      <c r="H44" s="282">
        <f>'Crash Costs- I-89 Exit 1 NB Ram'!S44</f>
        <v>29096.000000000004</v>
      </c>
      <c r="I44" s="282">
        <f>'Crash Costs- I-89 Exit 1 SB Ram'!S44</f>
        <v>104260.00000000001</v>
      </c>
      <c r="J44" s="376"/>
      <c r="K44" s="375"/>
      <c r="L44" s="282">
        <f t="shared" si="5"/>
        <v>2753784.0000000005</v>
      </c>
    </row>
    <row r="45" spans="1:13" x14ac:dyDescent="0.25">
      <c r="A45" s="5">
        <f t="shared" si="3"/>
        <v>2055</v>
      </c>
      <c r="B45" s="51">
        <f t="shared" si="4"/>
        <v>35</v>
      </c>
      <c r="C45" s="282">
        <f>'Crash Costs- I-89 Exit 1'!S45</f>
        <v>676224</v>
      </c>
      <c r="D45" s="194">
        <f>'Crash Costs- I-89 CD Weave'!S45</f>
        <v>584048</v>
      </c>
      <c r="E45" s="282">
        <f>'Crash Costs- I-89 - Ex 12 Weave'!S45</f>
        <v>677152.00000000023</v>
      </c>
      <c r="F45" s="282">
        <f>'Crash Costs- Ex 12-13 Weave'!S45</f>
        <v>515092.00000000017</v>
      </c>
      <c r="G45" s="282">
        <f>'Crash Costs- Exit 12'!S45</f>
        <v>181624.00000000006</v>
      </c>
      <c r="H45" s="282">
        <f>'Crash Costs- I-89 Exit 1 NB Ram'!S45</f>
        <v>29140.000000000004</v>
      </c>
      <c r="I45" s="282">
        <f>'Crash Costs- I-89 Exit 1 SB Ram'!S45</f>
        <v>104260.00000000001</v>
      </c>
      <c r="J45" s="376"/>
      <c r="K45" s="375"/>
      <c r="L45" s="282">
        <f t="shared" si="5"/>
        <v>2767540.0000000005</v>
      </c>
      <c r="M45" s="2"/>
    </row>
    <row r="46" spans="1:13" x14ac:dyDescent="0.25">
      <c r="A46" s="5">
        <f t="shared" si="3"/>
        <v>2056</v>
      </c>
      <c r="B46" s="51">
        <f t="shared" si="4"/>
        <v>36</v>
      </c>
      <c r="C46" s="282">
        <f>'Crash Costs- I-89 Exit 1'!S46</f>
        <v>685248</v>
      </c>
      <c r="D46" s="194">
        <f>'Crash Costs- I-89 CD Weave'!S46</f>
        <v>584136</v>
      </c>
      <c r="E46" s="282">
        <f>'Crash Costs- I-89 - Ex 12 Weave'!S46</f>
        <v>681708.00000000023</v>
      </c>
      <c r="F46" s="282">
        <f>'Crash Costs- Ex 12-13 Weave'!S46</f>
        <v>519648.00000000006</v>
      </c>
      <c r="G46" s="282">
        <f>'Crash Costs- Exit 12'!S46</f>
        <v>181668.00000000006</v>
      </c>
      <c r="H46" s="282">
        <f>'Crash Costs- I-89 Exit 1 NB Ram'!S46</f>
        <v>29140.000000000004</v>
      </c>
      <c r="I46" s="282">
        <f>'Crash Costs- I-89 Exit 1 SB Ram'!S46</f>
        <v>104260.00000000001</v>
      </c>
      <c r="J46" s="376"/>
      <c r="K46" s="375"/>
      <c r="L46" s="282">
        <f t="shared" si="5"/>
        <v>2785808.0000000005</v>
      </c>
      <c r="M46" s="2"/>
    </row>
    <row r="47" spans="1:13" ht="15.75" thickBot="1" x14ac:dyDescent="0.3">
      <c r="A47" s="6">
        <f t="shared" si="3"/>
        <v>2057</v>
      </c>
      <c r="B47" s="372">
        <f t="shared" si="4"/>
        <v>37</v>
      </c>
      <c r="C47" s="283">
        <f>'Crash Costs- I-89 Exit 1'!S47</f>
        <v>689847.99999999988</v>
      </c>
      <c r="D47" s="196">
        <f>'Crash Costs- I-89 CD Weave'!S47</f>
        <v>588692</v>
      </c>
      <c r="E47" s="283">
        <f>'Crash Costs- I-89 - Ex 12 Weave'!S47</f>
        <v>681752</v>
      </c>
      <c r="F47" s="283">
        <f>'Crash Costs- Ex 12-13 Weave'!S47</f>
        <v>519648.00000000023</v>
      </c>
      <c r="G47" s="283">
        <f>'Crash Costs- Exit 12'!S47</f>
        <v>181668.00000000006</v>
      </c>
      <c r="H47" s="283">
        <f>'Crash Costs- I-89 Exit 1 NB Ram'!S47</f>
        <v>29140.000000000004</v>
      </c>
      <c r="I47" s="283">
        <f>'Crash Costs- I-89 Exit 1 SB Ram'!S47</f>
        <v>104260.00000000001</v>
      </c>
      <c r="J47" s="374"/>
      <c r="K47" s="373"/>
      <c r="L47" s="283">
        <f t="shared" si="5"/>
        <v>2795008</v>
      </c>
      <c r="M47" s="2"/>
    </row>
    <row r="48" spans="1:13" x14ac:dyDescent="0.25">
      <c r="L48" s="2">
        <f>SUM(L4:L47)</f>
        <v>76243628</v>
      </c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3"/>
    </row>
    <row r="56" spans="13:13" ht="15" customHeight="1" x14ac:dyDescent="0.25"/>
    <row r="61" spans="13:13" ht="15" customHeight="1" x14ac:dyDescent="0.25"/>
    <row r="66" ht="15" customHeight="1" x14ac:dyDescent="0.25"/>
  </sheetData>
  <mergeCells count="12">
    <mergeCell ref="A2:A3"/>
    <mergeCell ref="B2:B3"/>
    <mergeCell ref="C2:C3"/>
    <mergeCell ref="D2:D3"/>
    <mergeCell ref="L2:L3"/>
    <mergeCell ref="G2:G3"/>
    <mergeCell ref="J2:J3"/>
    <mergeCell ref="K2:K3"/>
    <mergeCell ref="E2:E3"/>
    <mergeCell ref="F2:F3"/>
    <mergeCell ref="H2:H3"/>
    <mergeCell ref="I2:I3"/>
  </mergeCells>
  <pageMargins left="0.25" right="0.25" top="0.75" bottom="0.75" header="0.3" footer="0.3"/>
  <pageSetup paperSize="133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18</vt:i4>
      </vt:variant>
    </vt:vector>
  </HeadingPairs>
  <TitlesOfParts>
    <vt:vector size="39" baseType="lpstr">
      <vt:lpstr>Benefits-Cost Summary</vt:lpstr>
      <vt:lpstr>Funding Assumptions</vt:lpstr>
      <vt:lpstr>Avoided Bridge Projects</vt:lpstr>
      <vt:lpstr>Residual Bridge Value</vt:lpstr>
      <vt:lpstr>Maint. Costs</vt:lpstr>
      <vt:lpstr>Avoided Overlay Costs</vt:lpstr>
      <vt:lpstr>GDP</vt:lpstr>
      <vt:lpstr>Fuel Savings</vt:lpstr>
      <vt:lpstr>Crash Costs Summary</vt:lpstr>
      <vt:lpstr>Crash Costs- I-89 Exit 1</vt:lpstr>
      <vt:lpstr>Crash Costs- I-89 Exit 1 NB Ram</vt:lpstr>
      <vt:lpstr>Crash Costs- I-89 Exit 1 SB Ram</vt:lpstr>
      <vt:lpstr>Crash Costs- I-89 CD Weave</vt:lpstr>
      <vt:lpstr>Crash Costs- I-89 - Ex 12 Weave</vt:lpstr>
      <vt:lpstr>Crash Costs- Ex 12-13 Weave</vt:lpstr>
      <vt:lpstr>Crash Costs- Exit 12</vt:lpstr>
      <vt:lpstr>Value of Travel Time Table</vt:lpstr>
      <vt:lpstr>Travel Times Savings</vt:lpstr>
      <vt:lpstr>Travel Time Calcs - AM</vt:lpstr>
      <vt:lpstr>Travel Time Calcs - PM</vt:lpstr>
      <vt:lpstr>2018 Summer Weekend Savings</vt:lpstr>
      <vt:lpstr>'Avoided Bridge Projects'!Print_Area</vt:lpstr>
      <vt:lpstr>'Avoided Overlay Costs'!Print_Area</vt:lpstr>
      <vt:lpstr>'Benefits-Cost Summary'!Print_Area</vt:lpstr>
      <vt:lpstr>'Crash Costs- Ex 12-13 Weave'!Print_Area</vt:lpstr>
      <vt:lpstr>'Crash Costs- Exit 12'!Print_Area</vt:lpstr>
      <vt:lpstr>'Crash Costs- I-89 - Ex 12 Weave'!Print_Area</vt:lpstr>
      <vt:lpstr>'Crash Costs- I-89 CD Weave'!Print_Area</vt:lpstr>
      <vt:lpstr>'Crash Costs- I-89 Exit 1'!Print_Area</vt:lpstr>
      <vt:lpstr>'Crash Costs- I-89 Exit 1 NB Ram'!Print_Area</vt:lpstr>
      <vt:lpstr>'Crash Costs- I-89 Exit 1 SB Ram'!Print_Area</vt:lpstr>
      <vt:lpstr>'Crash Costs Summary'!Print_Area</vt:lpstr>
      <vt:lpstr>'Fuel Savings'!Print_Area</vt:lpstr>
      <vt:lpstr>'Funding Assumptions'!Print_Area</vt:lpstr>
      <vt:lpstr>GDP!Print_Area</vt:lpstr>
      <vt:lpstr>'Maint. Costs'!Print_Area</vt:lpstr>
      <vt:lpstr>'Residual Bridge Value'!Print_Area</vt:lpstr>
      <vt:lpstr>'Travel Times Savings'!Print_Area</vt:lpstr>
      <vt:lpstr>'Value of Travel Time Table'!Print_Area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jsantacruce</dc:creator>
  <cp:lastModifiedBy>Brian R. Colburn</cp:lastModifiedBy>
  <cp:lastPrinted>2020-02-24T16:25:04Z</cp:lastPrinted>
  <dcterms:created xsi:type="dcterms:W3CDTF">2016-03-17T13:01:38Z</dcterms:created>
  <dcterms:modified xsi:type="dcterms:W3CDTF">2020-02-25T15:40:56Z</dcterms:modified>
</cp:coreProperties>
</file>